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DIRECCIÓN ACADÉMICA\12.- TRANSPARENCIA\Agenda funcionario\"/>
    </mc:Choice>
  </mc:AlternateContent>
  <bookViews>
    <workbookView xWindow="0" yWindow="0" windowWidth="28800" windowHeight="12000" tabRatio="690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Enero!$Q$6</definedName>
    <definedName name="_xlnm.Print_Area" localSheetId="3">Abril!$D$7:$P$55</definedName>
    <definedName name="_xlnm.Print_Area" localSheetId="7">Agosto!$C$5:$O$54</definedName>
    <definedName name="_xlnm.Print_Area" localSheetId="11">Diciembre!$D$4:$P$53</definedName>
    <definedName name="_xlnm.Print_Area" localSheetId="0">Enero!$D$5:$P$55</definedName>
    <definedName name="_xlnm.Print_Area" localSheetId="1">Febrero!$D$6:$O$55</definedName>
    <definedName name="_xlnm.Print_Area" localSheetId="6">Julio!$C$5:$O$54</definedName>
    <definedName name="_xlnm.Print_Area" localSheetId="5">Junio!$D$5:$P$54</definedName>
    <definedName name="_xlnm.Print_Area" localSheetId="2">Marzo!$D$6:$P$55</definedName>
    <definedName name="_xlnm.Print_Area" localSheetId="4">Mayo!$D$5:$P$54</definedName>
    <definedName name="_xlnm.Print_Area" localSheetId="10">Noviembre!$D$5:$P$54</definedName>
    <definedName name="_xlnm.Print_Area" localSheetId="9">Octubre!$C$4:$O$53</definedName>
    <definedName name="_xlnm.Print_Area" localSheetId="8">Septiembre!$C$4:$O$53</definedName>
    <definedName name="DíasDeTareas" localSheetId="3">Abril!#REF!</definedName>
    <definedName name="DíasDeTareas" localSheetId="7">Agosto!#REF!</definedName>
    <definedName name="DíasDeTareas" localSheetId="11">Diciembre!#REF!</definedName>
    <definedName name="DíasDeTareas" localSheetId="1">Febrero!#REF!</definedName>
    <definedName name="DíasDeTareas" localSheetId="6">Julio!#REF!</definedName>
    <definedName name="DíasDeTareas" localSheetId="5">Junio!#REF!</definedName>
    <definedName name="DíasDeTareas" localSheetId="2">Marzo!#REF!</definedName>
    <definedName name="DíasDeTareas" localSheetId="4">Mayo!#REF!</definedName>
    <definedName name="DíasDeTareas" localSheetId="10">Noviembre!#REF!</definedName>
    <definedName name="DíasDeTareas" localSheetId="9">Octubre!#REF!</definedName>
    <definedName name="DíasDeTareas" localSheetId="8">Septiembre!#REF!</definedName>
    <definedName name="DíasDeTareas">Enero!#REF!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Abril!#REF!</definedName>
    <definedName name="TablaFechasImportantes" localSheetId="7">Agosto!#REF!</definedName>
    <definedName name="TablaFechasImportantes" localSheetId="11">Diciembre!#REF!</definedName>
    <definedName name="TablaFechasImportantes" localSheetId="1">Febrero!#REF!</definedName>
    <definedName name="TablaFechasImportantes" localSheetId="6">Julio!#REF!</definedName>
    <definedName name="TablaFechasImportantes" localSheetId="5">Junio!#REF!</definedName>
    <definedName name="TablaFechasImportantes" localSheetId="2">Marzo!#REF!</definedName>
    <definedName name="TablaFechasImportantes" localSheetId="4">Mayo!#REF!</definedName>
    <definedName name="TablaFechasImportantes" localSheetId="10">Noviembre!#REF!</definedName>
    <definedName name="TablaFechasImportantes" localSheetId="9">Octubre!#REF!</definedName>
    <definedName name="TablaFechasImportantes" localSheetId="8">Septiembre!#REF!</definedName>
    <definedName name="TablaFechasImportantes">Enero!#REF!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2" l="1"/>
  <c r="H8" i="12"/>
  <c r="G9" i="12"/>
  <c r="H9" i="12"/>
  <c r="G10" i="12"/>
  <c r="H10" i="12"/>
  <c r="H9" i="8"/>
  <c r="I9" i="8"/>
  <c r="J9" i="8"/>
  <c r="K9" i="8"/>
  <c r="H10" i="8"/>
  <c r="I10" i="8"/>
  <c r="J10" i="8"/>
  <c r="K10" i="8"/>
  <c r="H11" i="8"/>
  <c r="I11" i="8"/>
  <c r="J11" i="8"/>
  <c r="K11" i="8"/>
  <c r="H12" i="8"/>
  <c r="I12" i="8"/>
  <c r="J12" i="8"/>
  <c r="K12" i="8"/>
  <c r="H13" i="8"/>
  <c r="I13" i="8"/>
  <c r="J13" i="8"/>
  <c r="K13" i="8"/>
  <c r="L14" i="8" l="1"/>
  <c r="K14" i="8"/>
  <c r="J14" i="8"/>
  <c r="I14" i="8"/>
  <c r="H14" i="8"/>
  <c r="G14" i="8"/>
  <c r="F14" i="8"/>
  <c r="L13" i="8"/>
  <c r="G13" i="8"/>
  <c r="F13" i="8"/>
  <c r="L12" i="8"/>
  <c r="G12" i="8"/>
  <c r="F12" i="8"/>
  <c r="L11" i="8"/>
  <c r="G11" i="8"/>
  <c r="F11" i="8"/>
  <c r="L10" i="8"/>
  <c r="G10" i="8"/>
  <c r="F10" i="8"/>
  <c r="L9" i="8"/>
  <c r="G9" i="8"/>
  <c r="F9" i="8"/>
  <c r="L12" i="16"/>
  <c r="K12" i="16"/>
  <c r="J12" i="16"/>
  <c r="I12" i="16"/>
  <c r="H12" i="16"/>
  <c r="G12" i="16"/>
  <c r="F12" i="16"/>
  <c r="L11" i="16"/>
  <c r="K11" i="16"/>
  <c r="J11" i="16"/>
  <c r="I11" i="16"/>
  <c r="H11" i="16"/>
  <c r="G11" i="16"/>
  <c r="F11" i="16"/>
  <c r="L10" i="16"/>
  <c r="K10" i="16"/>
  <c r="J10" i="16"/>
  <c r="I10" i="16"/>
  <c r="H10" i="16"/>
  <c r="G10" i="16"/>
  <c r="F10" i="16"/>
  <c r="L9" i="16"/>
  <c r="K9" i="16"/>
  <c r="J9" i="16"/>
  <c r="I9" i="16"/>
  <c r="H9" i="16"/>
  <c r="G9" i="16"/>
  <c r="F9" i="16"/>
  <c r="L8" i="16"/>
  <c r="K8" i="16"/>
  <c r="J8" i="16"/>
  <c r="I8" i="16"/>
  <c r="H8" i="16"/>
  <c r="G8" i="16"/>
  <c r="F8" i="16"/>
  <c r="L7" i="16"/>
  <c r="K7" i="16"/>
  <c r="J7" i="16"/>
  <c r="I7" i="16"/>
  <c r="H7" i="16"/>
  <c r="G7" i="16"/>
  <c r="F7" i="16"/>
  <c r="L13" i="15"/>
  <c r="K13" i="15"/>
  <c r="J13" i="15"/>
  <c r="I13" i="15"/>
  <c r="H13" i="15"/>
  <c r="G13" i="15"/>
  <c r="F13" i="15"/>
  <c r="L12" i="15"/>
  <c r="K12" i="15"/>
  <c r="J12" i="15"/>
  <c r="I12" i="15"/>
  <c r="H12" i="15"/>
  <c r="G12" i="15"/>
  <c r="F12" i="15"/>
  <c r="L11" i="15"/>
  <c r="K11" i="15"/>
  <c r="J11" i="15"/>
  <c r="I11" i="15"/>
  <c r="H11" i="15"/>
  <c r="G11" i="15"/>
  <c r="F11" i="15"/>
  <c r="L10" i="15"/>
  <c r="K10" i="15"/>
  <c r="J10" i="15"/>
  <c r="I10" i="15"/>
  <c r="H10" i="15"/>
  <c r="G10" i="15"/>
  <c r="F10" i="15"/>
  <c r="L9" i="15"/>
  <c r="K9" i="15"/>
  <c r="J9" i="15"/>
  <c r="I9" i="15"/>
  <c r="H9" i="15"/>
  <c r="G9" i="15"/>
  <c r="F9" i="15"/>
  <c r="L8" i="15"/>
  <c r="K8" i="15"/>
  <c r="J8" i="15"/>
  <c r="I8" i="15"/>
  <c r="H8" i="15"/>
  <c r="G8" i="15"/>
  <c r="F8" i="15"/>
  <c r="K12" i="14"/>
  <c r="J12" i="14"/>
  <c r="I12" i="14"/>
  <c r="H12" i="14"/>
  <c r="G12" i="14"/>
  <c r="F12" i="14"/>
  <c r="E12" i="14"/>
  <c r="K11" i="14"/>
  <c r="J11" i="14"/>
  <c r="I11" i="14"/>
  <c r="H11" i="14"/>
  <c r="G11" i="14"/>
  <c r="F11" i="14"/>
  <c r="E11" i="14"/>
  <c r="K10" i="14"/>
  <c r="J10" i="14"/>
  <c r="I10" i="14"/>
  <c r="H10" i="14"/>
  <c r="G10" i="14"/>
  <c r="F10" i="14"/>
  <c r="E10" i="14"/>
  <c r="K9" i="14"/>
  <c r="J9" i="14"/>
  <c r="I9" i="14"/>
  <c r="H9" i="14"/>
  <c r="G9" i="14"/>
  <c r="F9" i="14"/>
  <c r="E9" i="14"/>
  <c r="K8" i="14"/>
  <c r="J8" i="14"/>
  <c r="I8" i="14"/>
  <c r="H8" i="14"/>
  <c r="G8" i="14"/>
  <c r="F8" i="14"/>
  <c r="E8" i="14"/>
  <c r="K7" i="14"/>
  <c r="J7" i="14"/>
  <c r="I7" i="14"/>
  <c r="H7" i="14"/>
  <c r="G7" i="14"/>
  <c r="F7" i="14"/>
  <c r="E7" i="14"/>
  <c r="K12" i="13"/>
  <c r="J12" i="13"/>
  <c r="I12" i="13"/>
  <c r="H12" i="13"/>
  <c r="G12" i="13"/>
  <c r="F12" i="13"/>
  <c r="E12" i="13"/>
  <c r="K11" i="13"/>
  <c r="J11" i="13"/>
  <c r="I11" i="13"/>
  <c r="H11" i="13"/>
  <c r="G11" i="13"/>
  <c r="F11" i="13"/>
  <c r="E11" i="13"/>
  <c r="K10" i="13"/>
  <c r="J10" i="13"/>
  <c r="I10" i="13"/>
  <c r="H10" i="13"/>
  <c r="G10" i="13"/>
  <c r="F10" i="13"/>
  <c r="E10" i="13"/>
  <c r="K9" i="13"/>
  <c r="J9" i="13"/>
  <c r="I9" i="13"/>
  <c r="H9" i="13"/>
  <c r="G9" i="13"/>
  <c r="F9" i="13"/>
  <c r="E9" i="13"/>
  <c r="K8" i="13"/>
  <c r="J8" i="13"/>
  <c r="I8" i="13"/>
  <c r="H8" i="13"/>
  <c r="G8" i="13"/>
  <c r="F8" i="13"/>
  <c r="E8" i="13"/>
  <c r="K7" i="13"/>
  <c r="J7" i="13"/>
  <c r="I7" i="13"/>
  <c r="H7" i="13"/>
  <c r="G7" i="13"/>
  <c r="F7" i="13"/>
  <c r="E7" i="13"/>
  <c r="K13" i="12"/>
  <c r="J13" i="12"/>
  <c r="I13" i="12"/>
  <c r="H13" i="12"/>
  <c r="G13" i="12"/>
  <c r="F13" i="12"/>
  <c r="E13" i="12"/>
  <c r="K12" i="12"/>
  <c r="J12" i="12"/>
  <c r="I12" i="12"/>
  <c r="H12" i="12"/>
  <c r="G12" i="12"/>
  <c r="F12" i="12"/>
  <c r="E12" i="12"/>
  <c r="K11" i="12"/>
  <c r="J11" i="12"/>
  <c r="I11" i="12"/>
  <c r="H11" i="12"/>
  <c r="G11" i="12"/>
  <c r="F11" i="12"/>
  <c r="E11" i="12"/>
  <c r="K10" i="12"/>
  <c r="J10" i="12"/>
  <c r="I10" i="12"/>
  <c r="F10" i="12"/>
  <c r="E10" i="12"/>
  <c r="K9" i="12"/>
  <c r="J9" i="12"/>
  <c r="I9" i="12"/>
  <c r="F9" i="12"/>
  <c r="E9" i="12"/>
  <c r="K8" i="12"/>
  <c r="J8" i="12"/>
  <c r="I8" i="12"/>
  <c r="F8" i="12"/>
  <c r="E8" i="12"/>
  <c r="K13" i="11"/>
  <c r="J13" i="11"/>
  <c r="I13" i="11"/>
  <c r="H13" i="11"/>
  <c r="G13" i="11"/>
  <c r="F13" i="11"/>
  <c r="E13" i="11"/>
  <c r="K12" i="11"/>
  <c r="J12" i="11"/>
  <c r="I12" i="11"/>
  <c r="H12" i="11"/>
  <c r="G12" i="11"/>
  <c r="F12" i="11"/>
  <c r="E12" i="11"/>
  <c r="K11" i="11"/>
  <c r="J11" i="11"/>
  <c r="I11" i="11"/>
  <c r="H11" i="11"/>
  <c r="G11" i="11"/>
  <c r="F11" i="11"/>
  <c r="E11" i="11"/>
  <c r="K10" i="11"/>
  <c r="J10" i="11"/>
  <c r="I10" i="11"/>
  <c r="H10" i="11"/>
  <c r="G10" i="11"/>
  <c r="F10" i="11"/>
  <c r="E10" i="11"/>
  <c r="K9" i="11"/>
  <c r="J9" i="11"/>
  <c r="I9" i="11"/>
  <c r="H9" i="11"/>
  <c r="G9" i="11"/>
  <c r="F9" i="11"/>
  <c r="E9" i="11"/>
  <c r="K8" i="11"/>
  <c r="J8" i="11"/>
  <c r="I8" i="11"/>
  <c r="H8" i="11"/>
  <c r="G8" i="11"/>
  <c r="F8" i="11"/>
  <c r="E8" i="11"/>
  <c r="L13" i="10"/>
  <c r="K13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L11" i="10"/>
  <c r="K11" i="10"/>
  <c r="J11" i="10"/>
  <c r="I11" i="10"/>
  <c r="H11" i="10"/>
  <c r="G11" i="10"/>
  <c r="F11" i="10"/>
  <c r="L10" i="10"/>
  <c r="K10" i="10"/>
  <c r="J10" i="10"/>
  <c r="I10" i="10"/>
  <c r="H10" i="10"/>
  <c r="G10" i="10"/>
  <c r="F10" i="10"/>
  <c r="L9" i="10"/>
  <c r="K9" i="10"/>
  <c r="J9" i="10"/>
  <c r="I9" i="10"/>
  <c r="H9" i="10"/>
  <c r="G9" i="10"/>
  <c r="F9" i="10"/>
  <c r="L8" i="10"/>
  <c r="K8" i="10"/>
  <c r="J8" i="10"/>
  <c r="I8" i="10"/>
  <c r="H8" i="10"/>
  <c r="G8" i="10"/>
  <c r="F8" i="10"/>
  <c r="L13" i="9"/>
  <c r="K13" i="9"/>
  <c r="J13" i="9"/>
  <c r="I13" i="9"/>
  <c r="H13" i="9"/>
  <c r="G13" i="9"/>
  <c r="F13" i="9"/>
  <c r="L12" i="9"/>
  <c r="K12" i="9"/>
  <c r="J12" i="9"/>
  <c r="I12" i="9"/>
  <c r="H12" i="9"/>
  <c r="G12" i="9"/>
  <c r="F12" i="9"/>
  <c r="L11" i="9"/>
  <c r="K11" i="9"/>
  <c r="J11" i="9"/>
  <c r="I11" i="9"/>
  <c r="H11" i="9"/>
  <c r="G11" i="9"/>
  <c r="F11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L8" i="9"/>
  <c r="K8" i="9"/>
  <c r="J8" i="9"/>
  <c r="I8" i="9"/>
  <c r="H8" i="9"/>
  <c r="G8" i="9"/>
  <c r="F8" i="9"/>
  <c r="L14" i="7"/>
  <c r="K14" i="7"/>
  <c r="J14" i="7"/>
  <c r="I14" i="7"/>
  <c r="H14" i="7"/>
  <c r="G14" i="7"/>
  <c r="F14" i="7"/>
  <c r="L13" i="7"/>
  <c r="K13" i="7"/>
  <c r="J13" i="7"/>
  <c r="I13" i="7"/>
  <c r="H13" i="7"/>
  <c r="G13" i="7"/>
  <c r="F13" i="7"/>
  <c r="L12" i="7"/>
  <c r="K12" i="7"/>
  <c r="J12" i="7"/>
  <c r="I12" i="7"/>
  <c r="H12" i="7"/>
  <c r="G12" i="7"/>
  <c r="F12" i="7"/>
  <c r="L11" i="7"/>
  <c r="K11" i="7"/>
  <c r="J11" i="7"/>
  <c r="I11" i="7"/>
  <c r="H11" i="7"/>
  <c r="G11" i="7"/>
  <c r="F11" i="7"/>
  <c r="L10" i="7"/>
  <c r="K10" i="7"/>
  <c r="J10" i="7"/>
  <c r="I10" i="7"/>
  <c r="H10" i="7"/>
  <c r="G10" i="7"/>
  <c r="F10" i="7"/>
  <c r="L9" i="7"/>
  <c r="K9" i="7"/>
  <c r="J9" i="7"/>
  <c r="I9" i="7"/>
  <c r="H9" i="7"/>
  <c r="G9" i="7"/>
  <c r="F9" i="7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K9" i="1" l="1"/>
  <c r="L14" i="1" l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L11" i="1"/>
  <c r="K11" i="1"/>
  <c r="J11" i="1"/>
  <c r="I11" i="1"/>
  <c r="H11" i="1"/>
  <c r="G11" i="1"/>
  <c r="F11" i="1"/>
  <c r="L10" i="1"/>
  <c r="K10" i="1"/>
  <c r="J10" i="1"/>
  <c r="I10" i="1"/>
  <c r="H10" i="1"/>
  <c r="G10" i="1"/>
  <c r="F10" i="1"/>
  <c r="L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<sst xmlns="http://schemas.openxmlformats.org/spreadsheetml/2006/main" count="235" uniqueCount="60">
  <si>
    <t>S</t>
  </si>
  <si>
    <t>M</t>
  </si>
  <si>
    <t>8:00</t>
  </si>
  <si>
    <t>9:00</t>
  </si>
  <si>
    <t>2:00</t>
  </si>
  <si>
    <t>10:00</t>
  </si>
  <si>
    <t>4:00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</si>
  <si>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</si>
  <si>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</si>
  <si>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</si>
  <si>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</si>
  <si>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</si>
  <si>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</si>
  <si>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</si>
  <si>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</si>
  <si>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</si>
  <si>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</si>
  <si>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</si>
  <si>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</si>
  <si>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</si>
  <si>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Francés</t>
  </si>
  <si>
    <t>Historia del arte</t>
  </si>
  <si>
    <t>Matemáticas</t>
  </si>
  <si>
    <t>Inglés</t>
  </si>
  <si>
    <t>Programación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</si>
  <si>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</si>
  <si>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</si>
  <si>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</si>
  <si>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</si>
  <si>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</si>
  <si>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</si>
  <si>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</si>
  <si>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</si>
  <si>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</si>
  <si>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</si>
  <si>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DIRECTORA GENERAL</t>
  </si>
  <si>
    <t>DÍA</t>
  </si>
  <si>
    <t>ACTIVIDAD</t>
  </si>
  <si>
    <t>HORA</t>
  </si>
  <si>
    <t>LUGAR</t>
  </si>
  <si>
    <t xml:space="preserve">DIRECTORA GENERAL </t>
  </si>
  <si>
    <t>ESCUELA DE CONSERVACIÓN Y RESTAURACIÓN DE OCCIDENTE</t>
  </si>
  <si>
    <t>AGENDA DE ACTIVIDADES</t>
  </si>
  <si>
    <t>DIRECTORA ACADÉMICA</t>
  </si>
  <si>
    <t xml:space="preserve">ECRO </t>
  </si>
  <si>
    <t xml:space="preserve">Consejo Académico </t>
  </si>
  <si>
    <t xml:space="preserve">Comité de Titulación </t>
  </si>
  <si>
    <t xml:space="preserve">Sesión  Comisión Dictaminadora del RIPPPA, evaluación de documentación de interesados en concurso de vacante profesor área de Museología </t>
  </si>
  <si>
    <t xml:space="preserve">Sesión Comisión Dictaminadora RIPPPA entrevista con aspirantes a puesto profesor de Museología </t>
  </si>
  <si>
    <t xml:space="preserve">Virtual vía Zoom </t>
  </si>
  <si>
    <t xml:space="preserve">Virtual Vía  Zoom </t>
  </si>
  <si>
    <t>Sesión Comisión Dictaminadora RIPPPA evaluación de entrevistas y selección de aspirante</t>
  </si>
  <si>
    <t xml:space="preserve">Reunión con IIE-UNAM y COLMICH ideas para especialidad en catalogación de colecciones </t>
  </si>
  <si>
    <t xml:space="preserve">Reunión Academia de Historia, presentación de programas y contenidos. </t>
  </si>
  <si>
    <t xml:space="preserve">Reunión informativa en Secretaría de Cultura para manejo de áea de difusión </t>
  </si>
  <si>
    <t>Secretaría de Cultura Jalisco</t>
  </si>
  <si>
    <t xml:space="preserve">Cita en la SICyT para trámites alusivo al registro de plan de estudios </t>
  </si>
  <si>
    <t>SICyT Av. Faro</t>
  </si>
  <si>
    <t xml:space="preserve">Virtual Vía Zoom </t>
  </si>
  <si>
    <t>Colegio de profesores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</si>
</sst>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24"/>
      <name val="Arial"/>
      <family val="2"/>
      <scheme val="major"/>
    </font>
    <font>
      <sz val="10"/>
      <name val="Arial"/>
      <family val="2"/>
      <scheme val="minor"/>
    </font>
    <font>
      <b/>
      <sz val="17"/>
      <name val="Arial"/>
      <family val="2"/>
      <scheme val="major"/>
    </font>
    <font>
      <b/>
      <sz val="17"/>
      <name val="Arial"/>
      <family val="2"/>
      <scheme val="minor"/>
    </font>
    <font>
      <sz val="10"/>
      <name val="Arial"/>
      <family val="2"/>
      <scheme val="major"/>
    </font>
    <font>
      <sz val="10.5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8.5"/>
      <name val="Arial"/>
      <family val="2"/>
      <scheme val="minor"/>
    </font>
    <font>
      <b/>
      <sz val="8.5"/>
      <name val="Arial"/>
      <family val="2"/>
      <scheme val="major"/>
    </font>
    <font>
      <sz val="9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 style="thin">
        <color theme="0"/>
      </left>
      <right/>
      <top style="thin">
        <color theme="4" tint="0.79995117038483843"/>
      </top>
      <bottom/>
      <diagonal/>
    </border>
    <border>
      <left/>
      <right style="thin">
        <color theme="0"/>
      </right>
      <top style="thin">
        <color theme="4" tint="0.7999511703848384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7998901333658864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0.7999206518753624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2" borderId="1" applyNumberFormat="0" applyAlignment="0" applyProtection="0"/>
    <xf numFmtId="0" fontId="6" fillId="3" borderId="0" applyNumberFormat="0" applyBorder="0" applyAlignment="0" applyProtection="0"/>
    <xf numFmtId="0" fontId="7" fillId="0" borderId="0" applyNumberFormat="0" applyFill="0" applyAlignment="0" applyProtection="0"/>
  </cellStyleXfs>
  <cellXfs count="174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indent="1"/>
    </xf>
    <xf numFmtId="0" fontId="0" fillId="0" borderId="5" xfId="0" applyFont="1" applyBorder="1"/>
    <xf numFmtId="0" fontId="0" fillId="0" borderId="12" xfId="0" applyFont="1" applyBorder="1"/>
    <xf numFmtId="0" fontId="13" fillId="5" borderId="13" xfId="0" applyFont="1" applyFill="1" applyBorder="1" applyAlignment="1">
      <alignment horizontal="left" vertical="top" indent="1"/>
    </xf>
    <xf numFmtId="0" fontId="13" fillId="5" borderId="7" xfId="0" applyFont="1" applyFill="1" applyBorder="1" applyAlignment="1">
      <alignment horizontal="left" vertical="top" indent="1"/>
    </xf>
    <xf numFmtId="49" fontId="12" fillId="5" borderId="4" xfId="0" applyNumberFormat="1" applyFont="1" applyFill="1" applyBorder="1" applyAlignment="1">
      <alignment horizontal="left" indent="1"/>
    </xf>
    <xf numFmtId="49" fontId="12" fillId="5" borderId="16" xfId="0" applyNumberFormat="1" applyFont="1" applyFill="1" applyBorder="1" applyAlignment="1">
      <alignment horizontal="left" inden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0" fillId="0" borderId="26" xfId="0" applyFont="1" applyBorder="1"/>
    <xf numFmtId="0" fontId="0" fillId="0" borderId="27" xfId="0" applyFont="1" applyBorder="1"/>
    <xf numFmtId="164" fontId="16" fillId="0" borderId="10" xfId="0" applyNumberFormat="1" applyFont="1" applyFill="1" applyBorder="1" applyAlignment="1">
      <alignment horizontal="left" vertical="center" wrapText="1" indent="1"/>
    </xf>
    <xf numFmtId="0" fontId="0" fillId="0" borderId="11" xfId="0" applyFont="1" applyBorder="1"/>
    <xf numFmtId="0" fontId="17" fillId="0" borderId="3" xfId="0" applyFont="1" applyFill="1" applyBorder="1" applyAlignment="1">
      <alignment horizontal="center" vertical="center" textRotation="90"/>
    </xf>
    <xf numFmtId="0" fontId="20" fillId="0" borderId="26" xfId="0" applyFont="1" applyBorder="1"/>
    <xf numFmtId="0" fontId="20" fillId="0" borderId="27" xfId="0" applyFont="1" applyBorder="1"/>
    <xf numFmtId="0" fontId="22" fillId="0" borderId="24" xfId="0" applyFont="1" applyFill="1" applyBorder="1" applyAlignment="1">
      <alignment vertical="center"/>
    </xf>
    <xf numFmtId="0" fontId="20" fillId="0" borderId="0" xfId="0" applyFont="1"/>
    <xf numFmtId="0" fontId="23" fillId="0" borderId="0" xfId="0" applyFont="1" applyFill="1" applyBorder="1" applyAlignment="1">
      <alignment horizontal="center" vertical="center"/>
    </xf>
    <xf numFmtId="0" fontId="20" fillId="0" borderId="12" xfId="0" applyFont="1" applyBorder="1"/>
    <xf numFmtId="164" fontId="24" fillId="0" borderId="0" xfId="0" applyNumberFormat="1" applyFont="1" applyFill="1" applyBorder="1" applyAlignment="1">
      <alignment horizontal="center" vertical="center" wrapText="1"/>
    </xf>
    <xf numFmtId="0" fontId="20" fillId="0" borderId="5" xfId="0" applyFont="1" applyBorder="1"/>
    <xf numFmtId="49" fontId="26" fillId="6" borderId="4" xfId="0" applyNumberFormat="1" applyFont="1" applyFill="1" applyBorder="1" applyAlignment="1">
      <alignment horizontal="left" indent="1"/>
    </xf>
    <xf numFmtId="0" fontId="27" fillId="6" borderId="13" xfId="0" applyFont="1" applyFill="1" applyBorder="1" applyAlignment="1">
      <alignment horizontal="left" vertical="top" indent="1"/>
    </xf>
    <xf numFmtId="49" fontId="26" fillId="6" borderId="16" xfId="0" applyNumberFormat="1" applyFont="1" applyFill="1" applyBorder="1" applyAlignment="1">
      <alignment horizontal="left" indent="1"/>
    </xf>
    <xf numFmtId="0" fontId="27" fillId="6" borderId="7" xfId="0" applyFont="1" applyFill="1" applyBorder="1" applyAlignment="1">
      <alignment horizontal="left" vertical="top" indent="1"/>
    </xf>
    <xf numFmtId="0" fontId="25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 indent="1"/>
    </xf>
    <xf numFmtId="0" fontId="20" fillId="0" borderId="0" xfId="0" applyFont="1" applyBorder="1"/>
    <xf numFmtId="0" fontId="20" fillId="0" borderId="10" xfId="0" applyFont="1" applyBorder="1"/>
    <xf numFmtId="0" fontId="0" fillId="0" borderId="31" xfId="0" applyBorder="1" applyAlignment="1">
      <alignment horizontal="center" vertical="top" wrapText="1"/>
    </xf>
    <xf numFmtId="0" fontId="0" fillId="0" borderId="31" xfId="0" applyBorder="1" applyAlignment="1">
      <alignment vertical="top" wrapText="1" indent="1"/>
    </xf>
    <xf numFmtId="0" fontId="0" fillId="7" borderId="31" xfId="0" applyFill="1" applyBorder="1" applyAlignment="1">
      <alignment horizontal="center" vertical="top" wrapText="1"/>
    </xf>
    <xf numFmtId="0" fontId="0" fillId="7" borderId="31" xfId="0" applyFill="1" applyBorder="1" applyAlignment="1">
      <alignment vertical="top" wrapText="1" indent="1"/>
    </xf>
    <xf numFmtId="20" fontId="0" fillId="7" borderId="31" xfId="0" applyNumberFormat="1" applyFill="1" applyBorder="1" applyAlignment="1">
      <alignment vertical="top" wrapText="1" indent="1"/>
    </xf>
    <xf numFmtId="20" fontId="0" fillId="0" borderId="31" xfId="0" applyNumberFormat="1" applyBorder="1" applyAlignment="1">
      <alignment vertical="top" wrapText="1" indent="1"/>
    </xf>
    <xf numFmtId="0" fontId="22" fillId="0" borderId="32" xfId="0" applyFont="1" applyFill="1" applyBorder="1" applyAlignment="1">
      <alignment vertical="center"/>
    </xf>
    <xf numFmtId="0" fontId="9" fillId="0" borderId="0" xfId="0" applyFont="1"/>
    <xf numFmtId="164" fontId="16" fillId="0" borderId="0" xfId="0" applyNumberFormat="1" applyFont="1" applyFill="1" applyBorder="1" applyAlignment="1">
      <alignment horizontal="left" vertical="center" wrapText="1" indent="1"/>
    </xf>
    <xf numFmtId="0" fontId="29" fillId="0" borderId="37" xfId="0" applyFont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20" fontId="0" fillId="7" borderId="31" xfId="0" applyNumberFormat="1" applyFill="1" applyBorder="1" applyAlignment="1">
      <alignment horizontal="center" vertical="top" wrapText="1"/>
    </xf>
    <xf numFmtId="164" fontId="15" fillId="6" borderId="0" xfId="0" applyNumberFormat="1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top"/>
    </xf>
    <xf numFmtId="20" fontId="0" fillId="7" borderId="37" xfId="0" applyNumberFormat="1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/>
    </xf>
    <xf numFmtId="0" fontId="0" fillId="7" borderId="38" xfId="0" applyFill="1" applyBorder="1" applyAlignment="1">
      <alignment horizontal="center" vertical="top" wrapText="1"/>
    </xf>
    <xf numFmtId="0" fontId="29" fillId="0" borderId="31" xfId="0" applyFont="1" applyBorder="1" applyAlignment="1">
      <alignment horizontal="left" vertical="top" wrapText="1" indent="1"/>
    </xf>
    <xf numFmtId="0" fontId="29" fillId="7" borderId="31" xfId="0" applyFont="1" applyFill="1" applyBorder="1" applyAlignment="1">
      <alignment horizontal="left" vertical="top" wrapText="1" inden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20" fontId="0" fillId="0" borderId="31" xfId="0" applyNumberFormat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20" fontId="2" fillId="6" borderId="38" xfId="0" applyNumberFormat="1" applyFont="1" applyFill="1" applyBorder="1" applyAlignment="1">
      <alignment horizontal="center" vertical="center" wrapText="1"/>
    </xf>
    <xf numFmtId="20" fontId="0" fillId="7" borderId="31" xfId="0" applyNumberFormat="1" applyFill="1" applyBorder="1" applyAlignment="1">
      <alignment horizontal="center" vertical="center" wrapText="1"/>
    </xf>
    <xf numFmtId="164" fontId="24" fillId="6" borderId="0" xfId="0" applyNumberFormat="1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164" fontId="24" fillId="10" borderId="0" xfId="0" applyNumberFormat="1" applyFont="1" applyFill="1" applyBorder="1" applyAlignment="1">
      <alignment horizontal="center" vertical="center" wrapText="1"/>
    </xf>
    <xf numFmtId="164" fontId="15" fillId="8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left" vertical="center" wrapText="1"/>
    </xf>
    <xf numFmtId="20" fontId="2" fillId="8" borderId="38" xfId="0" applyNumberFormat="1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20" fontId="1" fillId="8" borderId="31" xfId="0" applyNumberFormat="1" applyFont="1" applyFill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49" fontId="28" fillId="6" borderId="6" xfId="0" applyNumberFormat="1" applyFont="1" applyFill="1" applyBorder="1" applyAlignment="1">
      <alignment horizontal="left" indent="1"/>
    </xf>
    <xf numFmtId="49" fontId="28" fillId="6" borderId="12" xfId="0" applyNumberFormat="1" applyFont="1" applyFill="1" applyBorder="1" applyAlignment="1">
      <alignment horizontal="left" indent="1"/>
    </xf>
    <xf numFmtId="0" fontId="27" fillId="6" borderId="14" xfId="0" applyFont="1" applyFill="1" applyBorder="1" applyAlignment="1">
      <alignment horizontal="left" vertical="top" indent="1"/>
    </xf>
    <xf numFmtId="0" fontId="27" fillId="6" borderId="19" xfId="0" applyFont="1" applyFill="1" applyBorder="1" applyAlignment="1">
      <alignment horizontal="left" vertical="top" indent="1"/>
    </xf>
    <xf numFmtId="49" fontId="26" fillId="6" borderId="6" xfId="0" applyNumberFormat="1" applyFont="1" applyFill="1" applyBorder="1" applyAlignment="1">
      <alignment horizontal="left" vertical="center" indent="1"/>
    </xf>
    <xf numFmtId="49" fontId="26" fillId="6" borderId="12" xfId="0" applyNumberFormat="1" applyFont="1" applyFill="1" applyBorder="1" applyAlignment="1">
      <alignment horizontal="left" vertical="center" indent="1"/>
    </xf>
    <xf numFmtId="164" fontId="27" fillId="6" borderId="8" xfId="0" applyNumberFormat="1" applyFont="1" applyFill="1" applyBorder="1" applyAlignment="1">
      <alignment horizontal="left" vertical="top" indent="1"/>
    </xf>
    <xf numFmtId="164" fontId="27" fillId="6" borderId="11" xfId="0" applyNumberFormat="1" applyFont="1" applyFill="1" applyBorder="1" applyAlignment="1">
      <alignment horizontal="left" vertical="top" indent="1"/>
    </xf>
    <xf numFmtId="164" fontId="27" fillId="6" borderId="14" xfId="0" applyNumberFormat="1" applyFont="1" applyFill="1" applyBorder="1" applyAlignment="1">
      <alignment horizontal="left" vertical="top" indent="1"/>
    </xf>
    <xf numFmtId="164" fontId="27" fillId="6" borderId="19" xfId="0" applyNumberFormat="1" applyFont="1" applyFill="1" applyBorder="1" applyAlignment="1">
      <alignment horizontal="left" vertical="top" indent="1"/>
    </xf>
    <xf numFmtId="49" fontId="26" fillId="6" borderId="6" xfId="0" applyNumberFormat="1" applyFont="1" applyFill="1" applyBorder="1" applyAlignment="1">
      <alignment horizontal="left" indent="1"/>
    </xf>
    <xf numFmtId="49" fontId="26" fillId="6" borderId="12" xfId="0" applyNumberFormat="1" applyFont="1" applyFill="1" applyBorder="1" applyAlignment="1">
      <alignment horizontal="left" indent="1"/>
    </xf>
    <xf numFmtId="164" fontId="27" fillId="6" borderId="33" xfId="0" applyNumberFormat="1" applyFont="1" applyFill="1" applyBorder="1" applyAlignment="1">
      <alignment horizontal="left" vertical="top" indent="1"/>
    </xf>
    <xf numFmtId="49" fontId="26" fillId="6" borderId="0" xfId="0" applyNumberFormat="1" applyFont="1" applyFill="1" applyBorder="1" applyAlignment="1">
      <alignment horizontal="left" vertical="center" indent="1"/>
    </xf>
    <xf numFmtId="0" fontId="19" fillId="0" borderId="25" xfId="0" applyFont="1" applyFill="1" applyBorder="1" applyAlignment="1">
      <alignment horizontal="center" vertical="center" textRotation="90"/>
    </xf>
    <xf numFmtId="0" fontId="19" fillId="0" borderId="3" xfId="0" applyFont="1" applyFill="1" applyBorder="1" applyAlignment="1">
      <alignment horizontal="center" vertical="center" textRotation="90"/>
    </xf>
    <xf numFmtId="0" fontId="19" fillId="0" borderId="28" xfId="0" applyFont="1" applyFill="1" applyBorder="1" applyAlignment="1">
      <alignment horizontal="center" vertical="center" textRotation="90"/>
    </xf>
    <xf numFmtId="49" fontId="26" fillId="6" borderId="2" xfId="0" applyNumberFormat="1" applyFont="1" applyFill="1" applyBorder="1" applyAlignment="1">
      <alignment horizontal="left" indent="1"/>
    </xf>
    <xf numFmtId="0" fontId="27" fillId="6" borderId="15" xfId="0" applyFont="1" applyFill="1" applyBorder="1" applyAlignment="1">
      <alignment horizontal="left" vertical="top" indent="1"/>
    </xf>
    <xf numFmtId="0" fontId="27" fillId="6" borderId="8" xfId="0" applyFont="1" applyFill="1" applyBorder="1" applyAlignment="1">
      <alignment horizontal="left" vertical="top" indent="1"/>
    </xf>
    <xf numFmtId="0" fontId="27" fillId="6" borderId="9" xfId="0" applyFont="1" applyFill="1" applyBorder="1" applyAlignment="1">
      <alignment horizontal="left" vertical="top" indent="1"/>
    </xf>
    <xf numFmtId="49" fontId="26" fillId="6" borderId="0" xfId="0" applyNumberFormat="1" applyFont="1" applyFill="1" applyBorder="1" applyAlignment="1">
      <alignment horizontal="left" indent="1"/>
    </xf>
    <xf numFmtId="0" fontId="28" fillId="6" borderId="14" xfId="0" applyFont="1" applyFill="1" applyBorder="1" applyAlignment="1">
      <alignment horizontal="left" vertical="top" indent="1"/>
    </xf>
    <xf numFmtId="0" fontId="28" fillId="6" borderId="19" xfId="0" applyFont="1" applyFill="1" applyBorder="1" applyAlignment="1">
      <alignment horizontal="left" vertical="top" indent="1"/>
    </xf>
    <xf numFmtId="49" fontId="26" fillId="6" borderId="17" xfId="0" applyNumberFormat="1" applyFont="1" applyFill="1" applyBorder="1" applyAlignment="1">
      <alignment horizontal="left" indent="1"/>
    </xf>
    <xf numFmtId="49" fontId="26" fillId="6" borderId="18" xfId="0" applyNumberFormat="1" applyFont="1" applyFill="1" applyBorder="1" applyAlignment="1">
      <alignment horizontal="left" indent="1"/>
    </xf>
    <xf numFmtId="0" fontId="21" fillId="0" borderId="22" xfId="0" applyFont="1" applyBorder="1" applyAlignment="1">
      <alignment horizontal="left" vertical="center" indent="2"/>
    </xf>
    <xf numFmtId="0" fontId="21" fillId="0" borderId="23" xfId="0" applyFont="1" applyBorder="1" applyAlignment="1">
      <alignment horizontal="left" vertical="center" indent="2"/>
    </xf>
    <xf numFmtId="0" fontId="21" fillId="0" borderId="21" xfId="0" applyFont="1" applyBorder="1" applyAlignment="1">
      <alignment horizontal="left" vertical="center" indent="2"/>
    </xf>
    <xf numFmtId="0" fontId="21" fillId="0" borderId="0" xfId="0" applyFont="1" applyBorder="1" applyAlignment="1">
      <alignment horizontal="left" vertical="center" indent="2"/>
    </xf>
    <xf numFmtId="0" fontId="22" fillId="0" borderId="24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49" fontId="26" fillId="6" borderId="29" xfId="0" applyNumberFormat="1" applyFont="1" applyFill="1" applyBorder="1" applyAlignment="1">
      <alignment horizontal="left" indent="1"/>
    </xf>
    <xf numFmtId="49" fontId="26" fillId="6" borderId="30" xfId="0" applyNumberFormat="1" applyFont="1" applyFill="1" applyBorder="1" applyAlignment="1">
      <alignment horizontal="left" indent="1"/>
    </xf>
    <xf numFmtId="49" fontId="26" fillId="6" borderId="34" xfId="0" applyNumberFormat="1" applyFont="1" applyFill="1" applyBorder="1" applyAlignment="1">
      <alignment horizontal="left" indent="1"/>
    </xf>
    <xf numFmtId="20" fontId="0" fillId="7" borderId="37" xfId="0" applyNumberFormat="1" applyFill="1" applyBorder="1" applyAlignment="1">
      <alignment horizontal="center" vertical="top" wrapText="1"/>
    </xf>
    <xf numFmtId="20" fontId="0" fillId="7" borderId="38" xfId="0" applyNumberFormat="1" applyFill="1" applyBorder="1" applyAlignment="1">
      <alignment horizontal="center" vertical="top" wrapText="1"/>
    </xf>
    <xf numFmtId="0" fontId="0" fillId="7" borderId="37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20" fontId="0" fillId="6" borderId="37" xfId="0" applyNumberFormat="1" applyFill="1" applyBorder="1" applyAlignment="1">
      <alignment horizontal="center" vertical="top" wrapText="1"/>
    </xf>
    <xf numFmtId="20" fontId="0" fillId="6" borderId="38" xfId="0" applyNumberFormat="1" applyFill="1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20" fontId="0" fillId="0" borderId="37" xfId="0" applyNumberForma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8" fillId="9" borderId="37" xfId="0" applyFont="1" applyFill="1" applyBorder="1" applyAlignment="1">
      <alignment horizontal="center" vertical="center" wrapText="1"/>
    </xf>
    <xf numFmtId="0" fontId="18" fillId="9" borderId="38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7" borderId="37" xfId="0" applyFill="1" applyBorder="1" applyAlignment="1">
      <alignment horizontal="left" vertical="top" wrapText="1"/>
    </xf>
    <xf numFmtId="0" fontId="0" fillId="7" borderId="38" xfId="0" applyFill="1" applyBorder="1" applyAlignment="1">
      <alignment horizontal="left" vertical="top" wrapText="1"/>
    </xf>
    <xf numFmtId="0" fontId="0" fillId="7" borderId="37" xfId="0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20" fontId="0" fillId="0" borderId="38" xfId="0" applyNumberFormat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indent="1"/>
    </xf>
    <xf numFmtId="0" fontId="13" fillId="5" borderId="9" xfId="0" applyFont="1" applyFill="1" applyBorder="1" applyAlignment="1">
      <alignment horizontal="left" vertical="top" indent="1"/>
    </xf>
    <xf numFmtId="164" fontId="13" fillId="5" borderId="8" xfId="0" applyNumberFormat="1" applyFont="1" applyFill="1" applyBorder="1" applyAlignment="1">
      <alignment horizontal="left" vertical="top" indent="1"/>
    </xf>
    <xf numFmtId="164" fontId="13" fillId="5" borderId="11" xfId="0" applyNumberFormat="1" applyFont="1" applyFill="1" applyBorder="1" applyAlignment="1">
      <alignment horizontal="left" vertical="top" indent="1"/>
    </xf>
    <xf numFmtId="0" fontId="13" fillId="5" borderId="14" xfId="0" applyFont="1" applyFill="1" applyBorder="1" applyAlignment="1">
      <alignment horizontal="left" vertical="top" indent="1"/>
    </xf>
    <xf numFmtId="0" fontId="13" fillId="5" borderId="15" xfId="0" applyFont="1" applyFill="1" applyBorder="1" applyAlignment="1">
      <alignment horizontal="left" vertical="top" indent="1"/>
    </xf>
    <xf numFmtId="0" fontId="13" fillId="5" borderId="19" xfId="0" applyFont="1" applyFill="1" applyBorder="1" applyAlignment="1">
      <alignment horizontal="left" vertical="top" indent="1"/>
    </xf>
    <xf numFmtId="49" fontId="12" fillId="5" borderId="6" xfId="0" applyNumberFormat="1" applyFont="1" applyFill="1" applyBorder="1" applyAlignment="1">
      <alignment horizontal="left" indent="1"/>
    </xf>
    <xf numFmtId="49" fontId="12" fillId="5" borderId="2" xfId="0" applyNumberFormat="1" applyFont="1" applyFill="1" applyBorder="1" applyAlignment="1">
      <alignment horizontal="left" indent="1"/>
    </xf>
    <xf numFmtId="49" fontId="12" fillId="5" borderId="6" xfId="0" applyNumberFormat="1" applyFont="1" applyFill="1" applyBorder="1" applyAlignment="1">
      <alignment horizontal="left" vertical="center" indent="1"/>
    </xf>
    <xf numFmtId="49" fontId="12" fillId="5" borderId="12" xfId="0" applyNumberFormat="1" applyFont="1" applyFill="1" applyBorder="1" applyAlignment="1">
      <alignment horizontal="left" vertical="center" indent="1"/>
    </xf>
    <xf numFmtId="164" fontId="13" fillId="5" borderId="14" xfId="0" applyNumberFormat="1" applyFont="1" applyFill="1" applyBorder="1" applyAlignment="1">
      <alignment horizontal="left" vertical="top" indent="1"/>
    </xf>
    <xf numFmtId="164" fontId="13" fillId="5" borderId="19" xfId="0" applyNumberFormat="1" applyFont="1" applyFill="1" applyBorder="1" applyAlignment="1">
      <alignment horizontal="left" vertical="top" indent="1"/>
    </xf>
    <xf numFmtId="49" fontId="12" fillId="5" borderId="12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49" fontId="14" fillId="5" borderId="12" xfId="0" applyNumberFormat="1" applyFont="1" applyFill="1" applyBorder="1" applyAlignment="1">
      <alignment horizontal="left" indent="1"/>
    </xf>
    <xf numFmtId="0" fontId="14" fillId="5" borderId="14" xfId="0" applyFont="1" applyFill="1" applyBorder="1" applyAlignment="1">
      <alignment horizontal="left" vertical="top" indent="1"/>
    </xf>
    <xf numFmtId="0" fontId="14" fillId="5" borderId="19" xfId="0" applyFont="1" applyFill="1" applyBorder="1" applyAlignment="1">
      <alignment horizontal="left" vertical="top" indent="1"/>
    </xf>
    <xf numFmtId="49" fontId="12" fillId="5" borderId="17" xfId="0" applyNumberFormat="1" applyFont="1" applyFill="1" applyBorder="1" applyAlignment="1">
      <alignment horizontal="left" indent="1"/>
    </xf>
    <xf numFmtId="49" fontId="12" fillId="5" borderId="18" xfId="0" applyNumberFormat="1" applyFont="1" applyFill="1" applyBorder="1" applyAlignment="1">
      <alignment horizontal="left" indent="1"/>
    </xf>
    <xf numFmtId="49" fontId="12" fillId="5" borderId="20" xfId="0" applyNumberFormat="1" applyFont="1" applyFill="1" applyBorder="1" applyAlignment="1">
      <alignment horizontal="left" indent="1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indent="1"/>
    </xf>
    <xf numFmtId="0" fontId="11" fillId="4" borderId="2" xfId="0" applyFont="1" applyFill="1" applyBorder="1" applyAlignment="1">
      <alignment horizontal="left" indent="1"/>
    </xf>
    <xf numFmtId="0" fontId="11" fillId="4" borderId="12" xfId="0" applyFont="1" applyFill="1" applyBorder="1" applyAlignment="1">
      <alignment horizontal="left" indent="1"/>
    </xf>
    <xf numFmtId="0" fontId="0" fillId="8" borderId="3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37" xfId="0" applyFont="1" applyFill="1" applyBorder="1" applyAlignment="1">
      <alignment horizontal="center" vertical="center" wrapText="1"/>
    </xf>
    <xf numFmtId="20" fontId="0" fillId="7" borderId="31" xfId="0" applyNumberFormat="1" applyFont="1" applyFill="1" applyBorder="1" applyAlignment="1">
      <alignment horizontal="center" vertical="center" wrapText="1"/>
    </xf>
    <xf numFmtId="0" fontId="0" fillId="7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49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TableStyleLight9 2" pivot="0" count="4">
      <tableStyleElement type="wholeTable" dxfId="41"/>
      <tableStyleElement type="headerRow" dxfId="40"/>
      <tableStyleElement type="totalRow" dxfId="39"/>
      <tableStyleElement type="firstColumn" dxfId="38"/>
    </tableStyle>
  </tableStyles>
  <colors>
    <mruColors>
      <color rgb="FFE7E7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Q$6" max="2999" min="1900" page="10" val="202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5</xdr:row>
      <xdr:rowOff>28575</xdr:rowOff>
    </xdr:from>
    <xdr:to>
      <xdr:col>21</xdr:col>
      <xdr:colOff>552450</xdr:colOff>
      <xdr:row>6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en-US" sz="1000" b="1" baseline="0">
            <a:solidFill>
              <a:sysClr val="windowText" lastClr="000000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</xdr:row>
          <xdr:rowOff>85725</xdr:rowOff>
        </xdr:from>
        <xdr:to>
          <xdr:col>18</xdr:col>
          <xdr:colOff>0</xdr:colOff>
          <xdr:row>6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4</xdr:col>
      <xdr:colOff>76200</xdr:colOff>
      <xdr:row>15</xdr:row>
      <xdr:rowOff>200025</xdr:rowOff>
    </xdr:from>
    <xdr:to>
      <xdr:col>12</xdr:col>
      <xdr:colOff>390525</xdr:colOff>
      <xdr:row>22</xdr:row>
      <xdr:rowOff>123825</xdr:rowOff>
    </xdr:to>
    <xdr:sp macro="" textlink="">
      <xdr:nvSpPr>
        <xdr:cNvPr id="5" name="4 CuadroTexto"/>
        <xdr:cNvSpPr txBox="1"/>
      </xdr:nvSpPr>
      <xdr:spPr>
        <a:xfrm>
          <a:off x="1971675" y="3286125"/>
          <a:ext cx="429577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76200</xdr:colOff>
      <xdr:row>0</xdr:row>
      <xdr:rowOff>28575</xdr:rowOff>
    </xdr:from>
    <xdr:to>
      <xdr:col>5</xdr:col>
      <xdr:colOff>98587</xdr:colOff>
      <xdr:row>4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2489362" cy="876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12</xdr:col>
      <xdr:colOff>38100</xdr:colOff>
      <xdr:row>19</xdr:row>
      <xdr:rowOff>152400</xdr:rowOff>
    </xdr:to>
    <xdr:sp macro="" textlink="">
      <xdr:nvSpPr>
        <xdr:cNvPr id="3" name="2 CuadroTexto"/>
        <xdr:cNvSpPr txBox="1"/>
      </xdr:nvSpPr>
      <xdr:spPr>
        <a:xfrm>
          <a:off x="1314450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104775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</xdr:rowOff>
    </xdr:from>
    <xdr:to>
      <xdr:col>13</xdr:col>
      <xdr:colOff>38100</xdr:colOff>
      <xdr:row>17</xdr:row>
      <xdr:rowOff>180976</xdr:rowOff>
    </xdr:to>
    <xdr:sp macro="" textlink="">
      <xdr:nvSpPr>
        <xdr:cNvPr id="3" name="2 CuadroTexto"/>
        <xdr:cNvSpPr txBox="1"/>
      </xdr:nvSpPr>
      <xdr:spPr>
        <a:xfrm>
          <a:off x="1895475" y="3524251"/>
          <a:ext cx="4467225" cy="12192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13</xdr:col>
      <xdr:colOff>38100</xdr:colOff>
      <xdr:row>19</xdr:row>
      <xdr:rowOff>152400</xdr:rowOff>
    </xdr:to>
    <xdr:sp macro="" textlink="">
      <xdr:nvSpPr>
        <xdr:cNvPr id="2" name="1 CuadroTexto"/>
        <xdr:cNvSpPr txBox="1"/>
      </xdr:nvSpPr>
      <xdr:spPr>
        <a:xfrm>
          <a:off x="1895475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104775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16</xdr:row>
      <xdr:rowOff>0</xdr:rowOff>
    </xdr:from>
    <xdr:to>
      <xdr:col>13</xdr:col>
      <xdr:colOff>38099</xdr:colOff>
      <xdr:row>21</xdr:row>
      <xdr:rowOff>95250</xdr:rowOff>
    </xdr:to>
    <xdr:sp macro="" textlink="">
      <xdr:nvSpPr>
        <xdr:cNvPr id="3" name="2 CuadroTexto"/>
        <xdr:cNvSpPr txBox="1"/>
      </xdr:nvSpPr>
      <xdr:spPr>
        <a:xfrm>
          <a:off x="1628774" y="3524250"/>
          <a:ext cx="4467225" cy="123825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MOP)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142875</xdr:colOff>
      <xdr:row>0</xdr:row>
      <xdr:rowOff>28575</xdr:rowOff>
    </xdr:from>
    <xdr:to>
      <xdr:col>5</xdr:col>
      <xdr:colOff>155737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2489362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13</xdr:col>
      <xdr:colOff>38100</xdr:colOff>
      <xdr:row>22</xdr:row>
      <xdr:rowOff>152400</xdr:rowOff>
    </xdr:to>
    <xdr:sp macro="" textlink="">
      <xdr:nvSpPr>
        <xdr:cNvPr id="3" name="2 CuadroTexto"/>
        <xdr:cNvSpPr txBox="1"/>
      </xdr:nvSpPr>
      <xdr:spPr>
        <a:xfrm>
          <a:off x="1895475" y="35242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15</xdr:row>
      <xdr:rowOff>85725</xdr:rowOff>
    </xdr:from>
    <xdr:to>
      <xdr:col>13</xdr:col>
      <xdr:colOff>28575</xdr:colOff>
      <xdr:row>22</xdr:row>
      <xdr:rowOff>9525</xdr:rowOff>
    </xdr:to>
    <xdr:sp macro="" textlink="">
      <xdr:nvSpPr>
        <xdr:cNvPr id="2" name="1 CuadroTexto"/>
        <xdr:cNvSpPr txBox="1"/>
      </xdr:nvSpPr>
      <xdr:spPr>
        <a:xfrm>
          <a:off x="1885950" y="3590925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4</xdr:col>
      <xdr:colOff>736762</xdr:colOff>
      <xdr:row>4</xdr:row>
      <xdr:rowOff>142875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489362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13</xdr:col>
      <xdr:colOff>38100</xdr:colOff>
      <xdr:row>21</xdr:row>
      <xdr:rowOff>152400</xdr:rowOff>
    </xdr:to>
    <xdr:sp macro="" textlink="">
      <xdr:nvSpPr>
        <xdr:cNvPr id="2" name="1 CuadroTexto"/>
        <xdr:cNvSpPr txBox="1"/>
      </xdr:nvSpPr>
      <xdr:spPr>
        <a:xfrm>
          <a:off x="1895475" y="31051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180975</xdr:colOff>
      <xdr:row>0</xdr:row>
      <xdr:rowOff>47625</xdr:rowOff>
    </xdr:from>
    <xdr:to>
      <xdr:col>4</xdr:col>
      <xdr:colOff>774862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2489362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13</xdr:col>
      <xdr:colOff>38100</xdr:colOff>
      <xdr:row>20</xdr:row>
      <xdr:rowOff>152400</xdr:rowOff>
    </xdr:to>
    <xdr:sp macro="" textlink="">
      <xdr:nvSpPr>
        <xdr:cNvPr id="2" name="1 CuadroTexto"/>
        <xdr:cNvSpPr txBox="1"/>
      </xdr:nvSpPr>
      <xdr:spPr>
        <a:xfrm>
          <a:off x="1895475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85725</xdr:colOff>
      <xdr:row>0</xdr:row>
      <xdr:rowOff>123825</xdr:rowOff>
    </xdr:from>
    <xdr:to>
      <xdr:col>5</xdr:col>
      <xdr:colOff>412912</xdr:colOff>
      <xdr:row>5</xdr:row>
      <xdr:rowOff>19050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23825"/>
          <a:ext cx="2489362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12</xdr:col>
      <xdr:colOff>38100</xdr:colOff>
      <xdr:row>20</xdr:row>
      <xdr:rowOff>152400</xdr:rowOff>
    </xdr:to>
    <xdr:sp macro="" textlink="">
      <xdr:nvSpPr>
        <xdr:cNvPr id="2" name="1 CuadroTexto"/>
        <xdr:cNvSpPr txBox="1"/>
      </xdr:nvSpPr>
      <xdr:spPr>
        <a:xfrm>
          <a:off x="1314450" y="308610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12</xdr:col>
      <xdr:colOff>38100</xdr:colOff>
      <xdr:row>20</xdr:row>
      <xdr:rowOff>152400</xdr:rowOff>
    </xdr:to>
    <xdr:sp macro="" textlink="">
      <xdr:nvSpPr>
        <xdr:cNvPr id="2" name="1 CuadroTexto"/>
        <xdr:cNvSpPr txBox="1"/>
      </xdr:nvSpPr>
      <xdr:spPr>
        <a:xfrm>
          <a:off x="1314450" y="308610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12</xdr:col>
      <xdr:colOff>38100</xdr:colOff>
      <xdr:row>19</xdr:row>
      <xdr:rowOff>152400</xdr:rowOff>
    </xdr:to>
    <xdr:sp macro="" textlink="">
      <xdr:nvSpPr>
        <xdr:cNvPr id="2" name="1 CuadroTexto"/>
        <xdr:cNvSpPr txBox="1"/>
      </xdr:nvSpPr>
      <xdr:spPr>
        <a:xfrm>
          <a:off x="1314450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104775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Q38"/>
  <sheetViews>
    <sheetView showGridLines="0" tabSelected="1" zoomScaleNormal="100" zoomScalePageLayoutView="84" workbookViewId="0">
      <selection activeCell="V18" sqref="V18"/>
    </sheetView>
  </sheetViews>
  <sheetFormatPr baseColWidth="10" defaultColWidth="8.7109375" defaultRowHeight="16.5" customHeight="1" x14ac:dyDescent="0.2"/>
  <cols>
    <col min="1" max="1" width="4.5703125" style="19" customWidth="1"/>
    <col min="2" max="3" width="8.7109375" style="19"/>
    <col min="4" max="4" width="2.28515625" style="19" customWidth="1"/>
    <col min="5" max="5" width="12.7109375" style="19" customWidth="1"/>
    <col min="6" max="13" width="6.7109375" style="19" customWidth="1"/>
    <col min="14" max="14" width="7.28515625" style="19" customWidth="1"/>
    <col min="15" max="15" width="43.42578125" style="19" customWidth="1"/>
    <col min="16" max="16" width="16.5703125" style="168" customWidth="1"/>
    <col min="17" max="17" width="23.85546875" style="19" customWidth="1"/>
    <col min="18" max="18" width="2.28515625" style="19" customWidth="1"/>
    <col min="19" max="25" width="8.85546875" style="19" customWidth="1"/>
    <col min="26" max="16384" width="8.7109375" style="19"/>
  </cols>
  <sheetData>
    <row r="2" spans="4:17" ht="16.5" customHeight="1" x14ac:dyDescent="0.2">
      <c r="N2" s="28" t="s">
        <v>41</v>
      </c>
    </row>
    <row r="3" spans="4:17" ht="16.5" customHeight="1" x14ac:dyDescent="0.2">
      <c r="N3" s="28" t="s">
        <v>35</v>
      </c>
    </row>
    <row r="5" spans="4:17" ht="11.25" customHeight="1" x14ac:dyDescent="0.2"/>
    <row r="6" spans="4:17" ht="18" customHeight="1" x14ac:dyDescent="0.2">
      <c r="D6" s="23"/>
      <c r="E6" s="89" t="s">
        <v>7</v>
      </c>
      <c r="F6" s="16"/>
      <c r="G6" s="16"/>
      <c r="H6" s="16"/>
      <c r="I6" s="16"/>
      <c r="J6" s="16"/>
      <c r="K6" s="16"/>
      <c r="L6" s="16"/>
      <c r="M6" s="17"/>
      <c r="N6" s="101" t="s">
        <v>42</v>
      </c>
      <c r="O6" s="102">
        <v>2013</v>
      </c>
      <c r="P6" s="102"/>
      <c r="Q6" s="105">
        <v>2022</v>
      </c>
    </row>
    <row r="7" spans="4:17" ht="21" customHeight="1" x14ac:dyDescent="0.2">
      <c r="D7" s="23"/>
      <c r="E7" s="90"/>
      <c r="M7" s="21"/>
      <c r="N7" s="103"/>
      <c r="O7" s="104"/>
      <c r="P7" s="104"/>
      <c r="Q7" s="106"/>
    </row>
    <row r="8" spans="4:17" ht="18" customHeight="1" x14ac:dyDescent="0.2">
      <c r="D8" s="23"/>
      <c r="E8" s="90"/>
      <c r="F8" s="20" t="s">
        <v>8</v>
      </c>
      <c r="G8" s="20" t="s">
        <v>1</v>
      </c>
      <c r="H8" s="20" t="s">
        <v>9</v>
      </c>
      <c r="I8" s="20" t="s">
        <v>10</v>
      </c>
      <c r="J8" s="20" t="s">
        <v>11</v>
      </c>
      <c r="K8" s="20" t="s">
        <v>0</v>
      </c>
      <c r="L8" s="20" t="s">
        <v>12</v>
      </c>
      <c r="M8" s="31"/>
      <c r="N8" s="74" t="s">
        <v>36</v>
      </c>
      <c r="O8" s="74" t="s">
        <v>37</v>
      </c>
      <c r="P8" s="74" t="s">
        <v>38</v>
      </c>
      <c r="Q8" s="74" t="s">
        <v>39</v>
      </c>
    </row>
    <row r="9" spans="4:17" ht="18" customHeight="1" x14ac:dyDescent="0.2">
      <c r="D9" s="23"/>
      <c r="E9" s="90"/>
      <c r="F9" s="22">
        <f>IF(DAY(JanSun1)=1,JanSun1-6,JanSun1+1)</f>
        <v>44557</v>
      </c>
      <c r="G9" s="22">
        <f>IF(DAY(JanSun1)=1,JanSun1-5,JanSun1+2)</f>
        <v>44558</v>
      </c>
      <c r="H9" s="22">
        <f>IF(DAY(JanSun1)=1,JanSun1-4,JanSun1+3)</f>
        <v>44559</v>
      </c>
      <c r="I9" s="22">
        <f>IF(DAY(JanSun1)=1,JanSun1-3,JanSun1+4)</f>
        <v>44560</v>
      </c>
      <c r="J9" s="22">
        <f>IF(DAY(JanSun1)=1,JanSun1-2,JanSun1+5)</f>
        <v>44561</v>
      </c>
      <c r="K9" s="22">
        <f>IF(DAY(JanSun1)=1,JanSun1-1,JanSun1+6)</f>
        <v>44562</v>
      </c>
      <c r="L9" s="22">
        <f>IF(DAY(JanSun1)=1,JanSun1,JanSun1+7)</f>
        <v>44563</v>
      </c>
      <c r="M9" s="31"/>
      <c r="N9" s="74"/>
      <c r="O9" s="74"/>
      <c r="P9" s="74"/>
      <c r="Q9" s="74"/>
    </row>
    <row r="10" spans="4:17" ht="39" customHeight="1" x14ac:dyDescent="0.2">
      <c r="D10" s="23"/>
      <c r="E10" s="90"/>
      <c r="F10" s="22">
        <f>IF(DAY(JanSun1)=1,JanSun1+1,JanSun1+8)</f>
        <v>44564</v>
      </c>
      <c r="G10" s="58">
        <f>IF(DAY(JanSun1)=1,JanSun1+2,JanSun1+9)</f>
        <v>44565</v>
      </c>
      <c r="H10" s="22">
        <f>IF(DAY(JanSun1)=1,JanSun1+3,JanSun1+10)</f>
        <v>44566</v>
      </c>
      <c r="I10" s="22">
        <f>IF(DAY(JanSun1)=1,JanSun1+4,JanSun1+11)</f>
        <v>44567</v>
      </c>
      <c r="J10" s="60">
        <f>IF(DAY(JanSun1)=1,JanSun1+5,JanSun1+12)</f>
        <v>44568</v>
      </c>
      <c r="K10" s="22">
        <f>IF(DAY(JanSun1)=1,JanSun1+6,JanSun1+13)</f>
        <v>44569</v>
      </c>
      <c r="L10" s="22">
        <f>IF(DAY(JanSun1)=1,JanSun1+7,JanSun1+14)</f>
        <v>44570</v>
      </c>
      <c r="M10" s="31"/>
      <c r="N10" s="172">
        <v>7</v>
      </c>
      <c r="O10" s="170" t="s">
        <v>54</v>
      </c>
      <c r="P10" s="171">
        <v>0.45833333333333331</v>
      </c>
      <c r="Q10" s="172" t="s">
        <v>55</v>
      </c>
    </row>
    <row r="11" spans="4:17" ht="50.25" customHeight="1" x14ac:dyDescent="0.2">
      <c r="D11" s="23"/>
      <c r="E11" s="90"/>
      <c r="F11" s="60">
        <f>IF(DAY(JanSun1)=1,JanSun1+8,JanSun1+15)</f>
        <v>44571</v>
      </c>
      <c r="G11" s="60">
        <f>IF(DAY(JanSun1)=1,JanSun1+9,JanSun1+16)</f>
        <v>44572</v>
      </c>
      <c r="H11" s="60">
        <f>IF(DAY(JanSun1)=1,JanSun1+10,JanSun1+17)</f>
        <v>44573</v>
      </c>
      <c r="I11" s="60">
        <f>IF(DAY(JanSun1)=1,JanSun1+11,JanSun1+18)</f>
        <v>44574</v>
      </c>
      <c r="J11" s="60">
        <f>IF(DAY(JanSun1)=1,JanSun1+12,JanSun1+19)</f>
        <v>44575</v>
      </c>
      <c r="K11" s="22">
        <f>IF(DAY(JanSun1)=1,JanSun1+13,JanSun1+20)</f>
        <v>44576</v>
      </c>
      <c r="L11" s="22">
        <f>IF(DAY(JanSun1)=1,JanSun1+14,JanSun1+21)</f>
        <v>44577</v>
      </c>
      <c r="M11" s="31"/>
      <c r="N11" s="33">
        <v>10</v>
      </c>
      <c r="O11" s="42" t="s">
        <v>47</v>
      </c>
      <c r="P11" s="54">
        <v>0.5</v>
      </c>
      <c r="Q11" s="34" t="s">
        <v>50</v>
      </c>
    </row>
    <row r="12" spans="4:17" ht="25.5" customHeight="1" x14ac:dyDescent="0.2">
      <c r="D12" s="23"/>
      <c r="E12" s="90"/>
      <c r="F12" s="60">
        <f>IF(DAY(JanSun1)=1,JanSun1+15,JanSun1+22)</f>
        <v>44578</v>
      </c>
      <c r="G12" s="22">
        <f>IF(DAY(JanSun1)=1,JanSun1+16,JanSun1+23)</f>
        <v>44579</v>
      </c>
      <c r="H12" s="60">
        <f>IF(DAY(JanSun1)=1,JanSun1+17,JanSun1+24)</f>
        <v>44580</v>
      </c>
      <c r="I12" s="58">
        <f>IF(DAY(JanSun1)=1,JanSun1+18,JanSun1+25)</f>
        <v>44581</v>
      </c>
      <c r="J12" s="58">
        <f>IF(DAY(JanSun1)=1,JanSun1+19,JanSun1+26)</f>
        <v>44582</v>
      </c>
      <c r="K12" s="22">
        <f>IF(DAY(JanSun1)=1,JanSun1+20,JanSun1+27)</f>
        <v>44583</v>
      </c>
      <c r="L12" s="22">
        <f>IF(DAY(JanSun1)=1,JanSun1+21,JanSun1+28)</f>
        <v>44584</v>
      </c>
      <c r="M12" s="31"/>
      <c r="N12" s="35">
        <v>11</v>
      </c>
      <c r="O12" s="43" t="s">
        <v>48</v>
      </c>
      <c r="P12" s="57">
        <v>0.5</v>
      </c>
      <c r="Q12" s="36" t="s">
        <v>49</v>
      </c>
    </row>
    <row r="13" spans="4:17" ht="51" customHeight="1" x14ac:dyDescent="0.2">
      <c r="D13" s="23"/>
      <c r="E13" s="90"/>
      <c r="F13" s="60">
        <f>IF(DAY(JanSun1)=1,JanSun1+22,JanSun1+29)</f>
        <v>44585</v>
      </c>
      <c r="G13" s="22">
        <f>IF(DAY(JanSun1)=1,JanSun1+23,JanSun1+30)</f>
        <v>44586</v>
      </c>
      <c r="H13" s="58">
        <f>IF(DAY(JanSun1)=1,JanSun1+24,JanSun1+31)</f>
        <v>44587</v>
      </c>
      <c r="I13" s="60">
        <f>IF(DAY(JanSun1)=1,JanSun1+25,JanSun1+32)</f>
        <v>44588</v>
      </c>
      <c r="J13" s="60">
        <f>IF(DAY(JanSun1)=1,JanSun1+26,JanSun1+33)</f>
        <v>44589</v>
      </c>
      <c r="K13" s="22">
        <f>IF(DAY(JanSun1)=1,JanSun1+27,JanSun1+34)</f>
        <v>44590</v>
      </c>
      <c r="L13" s="22">
        <f>IF(DAY(JanSun1)=1,JanSun1+28,JanSun1+35)</f>
        <v>44591</v>
      </c>
      <c r="M13" s="31"/>
      <c r="N13" s="33">
        <v>12</v>
      </c>
      <c r="O13" s="34" t="s">
        <v>51</v>
      </c>
      <c r="P13" s="54">
        <v>0.5</v>
      </c>
      <c r="Q13" s="34" t="s">
        <v>49</v>
      </c>
    </row>
    <row r="14" spans="4:17" ht="34.5" customHeight="1" x14ac:dyDescent="0.2">
      <c r="D14" s="23"/>
      <c r="E14" s="90"/>
      <c r="F14" s="60">
        <f>IF(DAY(JanSun1)=1,JanSun1+29,JanSun1+36)</f>
        <v>44592</v>
      </c>
      <c r="G14" s="22">
        <f>IF(DAY(JanSun1)=1,JanSun1+30,JanSun1+37)</f>
        <v>44593</v>
      </c>
      <c r="H14" s="22">
        <f>IF(DAY(JanSun1)=1,JanSun1+31,JanSun1+38)</f>
        <v>44594</v>
      </c>
      <c r="I14" s="22">
        <f>IF(DAY(JanSun1)=1,JanSun1+32,JanSun1+39)</f>
        <v>44595</v>
      </c>
      <c r="J14" s="22">
        <f>IF(DAY(JanSun1)=1,JanSun1+33,JanSun1+40)</f>
        <v>44596</v>
      </c>
      <c r="K14" s="22">
        <f>IF(DAY(JanSun1)=1,JanSun1+34,JanSun1+41)</f>
        <v>44597</v>
      </c>
      <c r="L14" s="22">
        <f>IF(DAY(JanSun1)=1,JanSun1+35,JanSun1+42)</f>
        <v>44598</v>
      </c>
      <c r="M14" s="31"/>
      <c r="N14" s="35">
        <v>13</v>
      </c>
      <c r="O14" s="36" t="s">
        <v>52</v>
      </c>
      <c r="P14" s="57">
        <v>0.41666666666666669</v>
      </c>
      <c r="Q14" s="36" t="s">
        <v>49</v>
      </c>
    </row>
    <row r="15" spans="4:17" ht="30.75" customHeight="1" x14ac:dyDescent="0.2">
      <c r="D15" s="23"/>
      <c r="E15" s="91"/>
      <c r="F15" s="13"/>
      <c r="G15" s="13"/>
      <c r="H15" s="13"/>
      <c r="I15" s="13"/>
      <c r="J15" s="13"/>
      <c r="K15" s="13"/>
      <c r="L15" s="13"/>
      <c r="M15" s="32"/>
      <c r="N15" s="33">
        <v>14</v>
      </c>
      <c r="O15" s="173" t="s">
        <v>56</v>
      </c>
      <c r="P15" s="54">
        <v>0.41666666666666669</v>
      </c>
      <c r="Q15" s="34" t="s">
        <v>57</v>
      </c>
    </row>
    <row r="16" spans="4:17" ht="31.5" customHeight="1" x14ac:dyDescent="0.2">
      <c r="D16" s="23"/>
      <c r="E16" s="24"/>
      <c r="F16" s="107"/>
      <c r="G16" s="108"/>
      <c r="H16" s="107"/>
      <c r="I16" s="108"/>
      <c r="J16" s="85"/>
      <c r="K16" s="92"/>
      <c r="L16" s="85"/>
      <c r="M16" s="96"/>
      <c r="N16" s="35">
        <v>17</v>
      </c>
      <c r="O16" s="34" t="s">
        <v>53</v>
      </c>
      <c r="P16" s="57">
        <v>0.375</v>
      </c>
      <c r="Q16" s="36" t="s">
        <v>58</v>
      </c>
    </row>
    <row r="17" spans="4:17" ht="18" customHeight="1" x14ac:dyDescent="0.2">
      <c r="D17" s="23"/>
      <c r="E17" s="25"/>
      <c r="F17" s="77"/>
      <c r="G17" s="93"/>
      <c r="H17" s="77"/>
      <c r="I17" s="93"/>
      <c r="J17" s="77"/>
      <c r="K17" s="93"/>
      <c r="L17" s="83"/>
      <c r="M17" s="87"/>
      <c r="N17" s="33">
        <v>19</v>
      </c>
      <c r="O17" s="34" t="s">
        <v>59</v>
      </c>
      <c r="P17" s="54">
        <v>0.35416666666666669</v>
      </c>
      <c r="Q17" s="34" t="s">
        <v>44</v>
      </c>
    </row>
    <row r="18" spans="4:17" ht="30" customHeight="1" x14ac:dyDescent="0.2">
      <c r="E18" s="24"/>
      <c r="F18" s="99"/>
      <c r="G18" s="100"/>
      <c r="H18" s="99"/>
      <c r="I18" s="100"/>
      <c r="J18" s="85"/>
      <c r="K18" s="92"/>
      <c r="L18" s="79"/>
      <c r="M18" s="88"/>
      <c r="N18" s="35">
        <v>24</v>
      </c>
      <c r="O18" s="34" t="s">
        <v>53</v>
      </c>
      <c r="P18" s="57">
        <v>0.375</v>
      </c>
      <c r="Q18" s="36" t="s">
        <v>58</v>
      </c>
    </row>
    <row r="19" spans="4:17" ht="18" customHeight="1" x14ac:dyDescent="0.2">
      <c r="E19" s="25"/>
      <c r="F19" s="77"/>
      <c r="G19" s="93"/>
      <c r="H19" s="77"/>
      <c r="I19" s="93"/>
      <c r="J19" s="77"/>
      <c r="K19" s="93"/>
      <c r="L19" s="83"/>
      <c r="M19" s="87"/>
      <c r="N19" s="33">
        <v>27</v>
      </c>
      <c r="O19" s="34" t="s">
        <v>45</v>
      </c>
      <c r="P19" s="54">
        <v>0.5</v>
      </c>
      <c r="Q19" s="34" t="s">
        <v>49</v>
      </c>
    </row>
    <row r="20" spans="4:17" ht="18" customHeight="1" x14ac:dyDescent="0.2">
      <c r="E20" s="26"/>
      <c r="F20" s="99"/>
      <c r="G20" s="100"/>
      <c r="H20" s="99"/>
      <c r="I20" s="100"/>
      <c r="J20" s="99"/>
      <c r="K20" s="100"/>
      <c r="L20" s="99"/>
      <c r="M20" s="109"/>
      <c r="N20" s="35">
        <v>28</v>
      </c>
      <c r="O20" s="36" t="s">
        <v>46</v>
      </c>
      <c r="P20" s="57">
        <v>0.5</v>
      </c>
      <c r="Q20" s="34" t="s">
        <v>49</v>
      </c>
    </row>
    <row r="21" spans="4:17" ht="30.75" customHeight="1" x14ac:dyDescent="0.2">
      <c r="E21" s="25"/>
      <c r="F21" s="77"/>
      <c r="G21" s="93"/>
      <c r="H21" s="77"/>
      <c r="I21" s="93"/>
      <c r="J21" s="77"/>
      <c r="K21" s="93"/>
      <c r="L21" s="83"/>
      <c r="M21" s="87"/>
      <c r="N21" s="33">
        <v>31</v>
      </c>
      <c r="O21" s="34" t="s">
        <v>53</v>
      </c>
      <c r="P21" s="57">
        <v>0.375</v>
      </c>
      <c r="Q21" s="36" t="s">
        <v>58</v>
      </c>
    </row>
    <row r="22" spans="4:17" ht="18" customHeight="1" x14ac:dyDescent="0.2">
      <c r="E22" s="24"/>
      <c r="F22" s="99"/>
      <c r="G22" s="100"/>
      <c r="H22" s="99"/>
      <c r="I22" s="100"/>
      <c r="J22" s="85"/>
      <c r="K22" s="92"/>
      <c r="L22" s="85"/>
      <c r="M22" s="96"/>
      <c r="N22" s="35"/>
      <c r="O22" s="36"/>
      <c r="P22" s="66"/>
      <c r="Q22" s="36"/>
    </row>
    <row r="23" spans="4:17" ht="18" customHeight="1" x14ac:dyDescent="0.2">
      <c r="E23" s="25"/>
      <c r="F23" s="77"/>
      <c r="G23" s="93"/>
      <c r="H23" s="77"/>
      <c r="I23" s="93"/>
      <c r="J23" s="77"/>
      <c r="K23" s="93"/>
      <c r="L23" s="97"/>
      <c r="M23" s="98"/>
      <c r="N23" s="29"/>
      <c r="O23" s="30"/>
      <c r="P23" s="169"/>
      <c r="Q23" s="30"/>
    </row>
    <row r="24" spans="4:17" ht="18" customHeight="1" x14ac:dyDescent="0.2">
      <c r="E24" s="24"/>
      <c r="F24" s="99"/>
      <c r="G24" s="100"/>
      <c r="H24" s="99"/>
      <c r="I24" s="100"/>
      <c r="J24" s="85"/>
      <c r="K24" s="92"/>
      <c r="L24" s="85"/>
      <c r="M24" s="86"/>
    </row>
    <row r="25" spans="4:17" ht="18" customHeight="1" x14ac:dyDescent="0.2">
      <c r="E25" s="25"/>
      <c r="F25" s="77"/>
      <c r="G25" s="93"/>
      <c r="H25" s="77"/>
      <c r="I25" s="93"/>
      <c r="J25" s="77"/>
      <c r="K25" s="93"/>
      <c r="L25" s="83"/>
      <c r="M25" s="84"/>
    </row>
    <row r="26" spans="4:17" ht="18" customHeight="1" x14ac:dyDescent="0.2">
      <c r="E26" s="24"/>
      <c r="F26" s="99"/>
      <c r="G26" s="100"/>
      <c r="H26" s="99"/>
      <c r="I26" s="100"/>
      <c r="J26" s="85"/>
      <c r="K26" s="92"/>
      <c r="L26" s="85"/>
      <c r="M26" s="86"/>
    </row>
    <row r="27" spans="4:17" ht="18" customHeight="1" x14ac:dyDescent="0.2">
      <c r="E27" s="25"/>
      <c r="F27" s="77"/>
      <c r="G27" s="93"/>
      <c r="H27" s="77"/>
      <c r="I27" s="93"/>
      <c r="J27" s="77"/>
      <c r="K27" s="93"/>
      <c r="L27" s="83"/>
      <c r="M27" s="84"/>
    </row>
    <row r="28" spans="4:17" ht="18" customHeight="1" x14ac:dyDescent="0.2">
      <c r="E28" s="24"/>
      <c r="F28" s="99"/>
      <c r="G28" s="100"/>
      <c r="H28" s="99"/>
      <c r="I28" s="100"/>
      <c r="J28" s="85"/>
      <c r="K28" s="92"/>
      <c r="L28" s="85"/>
      <c r="M28" s="86"/>
    </row>
    <row r="29" spans="4:17" ht="18" customHeight="1" x14ac:dyDescent="0.2">
      <c r="E29" s="25"/>
      <c r="F29" s="77"/>
      <c r="G29" s="93"/>
      <c r="H29" s="77"/>
      <c r="I29" s="93"/>
      <c r="J29" s="77"/>
      <c r="K29" s="93"/>
      <c r="L29" s="83"/>
      <c r="M29" s="84"/>
    </row>
    <row r="30" spans="4:17" ht="18" customHeight="1" x14ac:dyDescent="0.2">
      <c r="E30" s="24"/>
      <c r="F30" s="99"/>
      <c r="G30" s="100"/>
      <c r="H30" s="99"/>
      <c r="I30" s="100"/>
      <c r="J30" s="85"/>
      <c r="K30" s="92"/>
      <c r="L30" s="85"/>
      <c r="M30" s="86"/>
    </row>
    <row r="31" spans="4:17" ht="18" customHeight="1" x14ac:dyDescent="0.2">
      <c r="E31" s="25"/>
      <c r="F31" s="77"/>
      <c r="G31" s="93"/>
      <c r="H31" s="77"/>
      <c r="I31" s="93"/>
      <c r="J31" s="77"/>
      <c r="K31" s="93"/>
      <c r="L31" s="77"/>
      <c r="M31" s="78"/>
    </row>
    <row r="32" spans="4:17" ht="18" customHeight="1" x14ac:dyDescent="0.2">
      <c r="E32" s="24"/>
      <c r="F32" s="99"/>
      <c r="G32" s="100"/>
      <c r="H32" s="99"/>
      <c r="I32" s="100"/>
      <c r="J32" s="85"/>
      <c r="K32" s="92"/>
      <c r="L32" s="75"/>
      <c r="M32" s="76"/>
    </row>
    <row r="33" spans="5:13" ht="18" customHeight="1" x14ac:dyDescent="0.2">
      <c r="E33" s="25"/>
      <c r="F33" s="77"/>
      <c r="G33" s="93"/>
      <c r="H33" s="77"/>
      <c r="I33" s="93"/>
      <c r="J33" s="77"/>
      <c r="K33" s="93"/>
      <c r="L33" s="77"/>
      <c r="M33" s="78"/>
    </row>
    <row r="34" spans="5:13" ht="18" customHeight="1" x14ac:dyDescent="0.2">
      <c r="E34" s="24"/>
      <c r="F34" s="99"/>
      <c r="G34" s="100"/>
      <c r="H34" s="99"/>
      <c r="I34" s="100"/>
      <c r="J34" s="85"/>
      <c r="K34" s="92"/>
      <c r="L34" s="79"/>
      <c r="M34" s="80"/>
    </row>
    <row r="35" spans="5:13" ht="18" customHeight="1" x14ac:dyDescent="0.2">
      <c r="E35" s="27"/>
      <c r="F35" s="94"/>
      <c r="G35" s="95"/>
      <c r="H35" s="94"/>
      <c r="I35" s="95"/>
      <c r="J35" s="94"/>
      <c r="K35" s="95"/>
      <c r="L35" s="81"/>
      <c r="M35" s="82"/>
    </row>
    <row r="36" spans="5:13" ht="18" customHeight="1" x14ac:dyDescent="0.2"/>
    <row r="37" spans="5:13" ht="18" customHeight="1" x14ac:dyDescent="0.2"/>
    <row r="38" spans="5:13" ht="18" customHeight="1" x14ac:dyDescent="0.2"/>
  </sheetData>
  <mergeCells count="87">
    <mergeCell ref="P8:P9"/>
    <mergeCell ref="F17:G17"/>
    <mergeCell ref="F16:G16"/>
    <mergeCell ref="F25:G25"/>
    <mergeCell ref="F24:G24"/>
    <mergeCell ref="F23:G23"/>
    <mergeCell ref="F22:G22"/>
    <mergeCell ref="F21:G21"/>
    <mergeCell ref="N8:N9"/>
    <mergeCell ref="H25:I25"/>
    <mergeCell ref="H24:I24"/>
    <mergeCell ref="H23:I23"/>
    <mergeCell ref="H22:I22"/>
    <mergeCell ref="H21:I21"/>
    <mergeCell ref="J21:K21"/>
    <mergeCell ref="J23:K23"/>
    <mergeCell ref="N6:P7"/>
    <mergeCell ref="Q6:Q7"/>
    <mergeCell ref="F18:G18"/>
    <mergeCell ref="F19:G19"/>
    <mergeCell ref="F20:G20"/>
    <mergeCell ref="H20:I20"/>
    <mergeCell ref="H19:I19"/>
    <mergeCell ref="H18:I18"/>
    <mergeCell ref="H17:I17"/>
    <mergeCell ref="H16:I16"/>
    <mergeCell ref="J19:K19"/>
    <mergeCell ref="L19:M19"/>
    <mergeCell ref="J20:K20"/>
    <mergeCell ref="L20:M20"/>
    <mergeCell ref="J16:K16"/>
    <mergeCell ref="L16:M16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L21:M21"/>
    <mergeCell ref="L22:M22"/>
    <mergeCell ref="L23:M23"/>
    <mergeCell ref="H35:I35"/>
    <mergeCell ref="H34:I34"/>
    <mergeCell ref="H33:I33"/>
    <mergeCell ref="H32:I32"/>
    <mergeCell ref="H31:I31"/>
    <mergeCell ref="H30:I30"/>
    <mergeCell ref="H29:I29"/>
    <mergeCell ref="H28:I28"/>
    <mergeCell ref="H27:I27"/>
    <mergeCell ref="H26:I26"/>
    <mergeCell ref="E6:E15"/>
    <mergeCell ref="J32:K32"/>
    <mergeCell ref="J33:K33"/>
    <mergeCell ref="J34:K34"/>
    <mergeCell ref="J35:K35"/>
    <mergeCell ref="J27:K27"/>
    <mergeCell ref="J28:K28"/>
    <mergeCell ref="J29:K29"/>
    <mergeCell ref="J30:K30"/>
    <mergeCell ref="J31:K31"/>
    <mergeCell ref="J24:K24"/>
    <mergeCell ref="J25:K25"/>
    <mergeCell ref="J26:K26"/>
    <mergeCell ref="J17:K17"/>
    <mergeCell ref="J18:K18"/>
    <mergeCell ref="J22:K22"/>
    <mergeCell ref="Q8:Q9"/>
    <mergeCell ref="L32:M32"/>
    <mergeCell ref="L33:M33"/>
    <mergeCell ref="L34:M34"/>
    <mergeCell ref="L35:M35"/>
    <mergeCell ref="L27:M27"/>
    <mergeCell ref="L28:M28"/>
    <mergeCell ref="L29:M29"/>
    <mergeCell ref="L30:M30"/>
    <mergeCell ref="L31:M31"/>
    <mergeCell ref="L25:M25"/>
    <mergeCell ref="L26:M26"/>
    <mergeCell ref="L17:M17"/>
    <mergeCell ref="L18:M18"/>
    <mergeCell ref="L24:M24"/>
    <mergeCell ref="O8:O9"/>
  </mergeCells>
  <phoneticPr fontId="3" type="noConversion"/>
  <conditionalFormatting sqref="F9:K9">
    <cfRule type="expression" dxfId="37" priority="4" stopIfTrue="1">
      <formula>DAY(F9)&gt;8</formula>
    </cfRule>
  </conditionalFormatting>
  <conditionalFormatting sqref="F13:L15">
    <cfRule type="expression" dxfId="36" priority="3" stopIfTrue="1">
      <formula>AND(DAY(F13)&gt;=1,DAY(F13)&lt;=15)</formula>
    </cfRule>
  </conditionalFormatting>
  <conditionalFormatting sqref="F9:L14">
    <cfRule type="expression" dxfId="35" priority="15">
      <formula>VLOOKUP(DAY(F9),DíasDeTareas,1,FALSE)=DAY(F9)</formula>
    </cfRule>
  </conditionalFormatting>
  <conditionalFormatting sqref="E16:M35">
    <cfRule type="expression" dxfId="34" priority="1">
      <formula>E16&lt;&gt;""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17</xdr:col>
                    <xdr:colOff>28575</xdr:colOff>
                    <xdr:row>5</xdr:row>
                    <xdr:rowOff>85725</xdr:rowOff>
                  </from>
                  <to>
                    <xdr:col>18</xdr:col>
                    <xdr:colOff>0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C2:AQ36"/>
  <sheetViews>
    <sheetView showGridLines="0" zoomScaleNormal="100" zoomScalePageLayoutView="84" workbookViewId="0">
      <selection activeCell="V14" sqref="V14:W14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12" customWidth="1"/>
    <col min="15" max="15" width="44.28515625" style="1" customWidth="1"/>
    <col min="16" max="16" width="10.7109375" style="1" customWidth="1"/>
    <col min="17" max="17" width="19.140625" customWidth="1"/>
    <col min="18" max="24" width="8.85546875" customWidth="1"/>
    <col min="44" max="16384" width="8.7109375" style="1"/>
  </cols>
  <sheetData>
    <row r="2" spans="3:17" ht="16.5" customHeight="1" x14ac:dyDescent="0.2">
      <c r="N2" s="40" t="s">
        <v>41</v>
      </c>
    </row>
    <row r="3" spans="3:17" ht="16.5" customHeight="1" x14ac:dyDescent="0.2">
      <c r="N3" s="40" t="s">
        <v>40</v>
      </c>
    </row>
    <row r="4" spans="3:17" ht="11.25" customHeight="1" x14ac:dyDescent="0.2"/>
    <row r="5" spans="3:17" ht="18" customHeight="1" x14ac:dyDescent="0.2">
      <c r="C5" s="4"/>
      <c r="D5" s="89" t="s">
        <v>26</v>
      </c>
      <c r="E5" s="11"/>
      <c r="F5" s="11"/>
      <c r="G5" s="11"/>
      <c r="H5" s="11"/>
      <c r="I5" s="11"/>
      <c r="J5" s="11"/>
      <c r="K5" s="11"/>
      <c r="L5" s="12"/>
      <c r="N5" s="125" t="s">
        <v>42</v>
      </c>
      <c r="O5" s="126"/>
      <c r="P5" s="126"/>
      <c r="Q5" s="18">
        <v>2022</v>
      </c>
    </row>
    <row r="6" spans="3:17" ht="21" customHeight="1" x14ac:dyDescent="0.2">
      <c r="C6" s="4"/>
      <c r="D6" s="90"/>
      <c r="E6" s="2" t="s">
        <v>8</v>
      </c>
      <c r="F6" s="2" t="s">
        <v>1</v>
      </c>
      <c r="G6" s="2" t="s">
        <v>9</v>
      </c>
      <c r="H6" s="2" t="s">
        <v>10</v>
      </c>
      <c r="I6" s="2" t="s">
        <v>11</v>
      </c>
      <c r="J6" s="2" t="s">
        <v>0</v>
      </c>
      <c r="K6" s="2" t="s">
        <v>12</v>
      </c>
      <c r="L6" s="5"/>
      <c r="N6" s="127"/>
      <c r="O6" s="128"/>
      <c r="P6" s="128"/>
      <c r="Q6" s="39"/>
    </row>
    <row r="7" spans="3:17" ht="18" customHeight="1" x14ac:dyDescent="0.2">
      <c r="C7" s="4"/>
      <c r="D7" s="90"/>
      <c r="E7" s="10">
        <f>IF(DAY(OctDom1)=1,OctDom1-6,OctDom1+1)</f>
        <v>44830</v>
      </c>
      <c r="F7" s="45">
        <f>IF(DAY(OctDom1)=1,OctDom1-5,OctDom1+2)</f>
        <v>44831</v>
      </c>
      <c r="G7" s="45">
        <f>IF(DAY(OctDom1)=1,OctDom1-4,OctDom1+3)</f>
        <v>44832</v>
      </c>
      <c r="H7" s="45">
        <f>IF(DAY(OctDom1)=1,OctDom1-3,OctDom1+4)</f>
        <v>44833</v>
      </c>
      <c r="I7" s="45">
        <f>IF(DAY(OctDom1)=1,OctDom1-2,OctDom1+5)</f>
        <v>44834</v>
      </c>
      <c r="J7" s="45">
        <f>IF(DAY(OctDom1)=1,OctDom1-1,OctDom1+6)</f>
        <v>44835</v>
      </c>
      <c r="K7" s="10">
        <f>IF(DAY(OctDom1)=1,OctDom1,OctDom1+7)</f>
        <v>44836</v>
      </c>
      <c r="L7" s="5"/>
      <c r="N7" s="129" t="s">
        <v>36</v>
      </c>
      <c r="O7" s="129" t="s">
        <v>37</v>
      </c>
      <c r="P7" s="129" t="s">
        <v>38</v>
      </c>
      <c r="Q7" s="129" t="s">
        <v>39</v>
      </c>
    </row>
    <row r="8" spans="3:17" ht="18" customHeight="1" x14ac:dyDescent="0.2">
      <c r="C8" s="4"/>
      <c r="D8" s="90"/>
      <c r="E8" s="10">
        <f>IF(DAY(OctDom1)=1,OctDom1+1,OctDom1+8)</f>
        <v>44837</v>
      </c>
      <c r="F8" s="45">
        <f>IF(DAY(OctDom1)=1,OctDom1+2,OctDom1+9)</f>
        <v>44838</v>
      </c>
      <c r="G8" s="45">
        <f>IF(DAY(OctDom1)=1,OctDom1+3,OctDom1+10)</f>
        <v>44839</v>
      </c>
      <c r="H8" s="45">
        <f>IF(DAY(OctDom1)=1,OctDom1+4,OctDom1+11)</f>
        <v>44840</v>
      </c>
      <c r="I8" s="45">
        <f>IF(DAY(OctDom1)=1,OctDom1+5,OctDom1+12)</f>
        <v>44841</v>
      </c>
      <c r="J8" s="45">
        <f>IF(DAY(OctDom1)=1,OctDom1+6,OctDom1+13)</f>
        <v>44842</v>
      </c>
      <c r="K8" s="10">
        <f>IF(DAY(OctDom1)=1,OctDom1+7,OctDom1+14)</f>
        <v>44843</v>
      </c>
      <c r="L8" s="5"/>
      <c r="N8" s="130"/>
      <c r="O8" s="130"/>
      <c r="P8" s="130"/>
      <c r="Q8" s="130"/>
    </row>
    <row r="9" spans="3:17" ht="38.25" customHeight="1" x14ac:dyDescent="0.2">
      <c r="C9" s="4"/>
      <c r="D9" s="90"/>
      <c r="E9" s="10">
        <f>IF(DAY(OctDom1)=1,OctDom1+8,OctDom1+15)</f>
        <v>44844</v>
      </c>
      <c r="F9" s="45">
        <f>IF(DAY(OctDom1)=1,OctDom1+9,OctDom1+16)</f>
        <v>44845</v>
      </c>
      <c r="G9" s="45">
        <f>IF(DAY(OctDom1)=1,OctDom1+10,OctDom1+17)</f>
        <v>44846</v>
      </c>
      <c r="H9" s="45">
        <f>IF(DAY(OctDom1)=1,OctDom1+11,OctDom1+18)</f>
        <v>44847</v>
      </c>
      <c r="I9" s="45">
        <f>IF(DAY(OctDom1)=1,OctDom1+12,OctDom1+19)</f>
        <v>44848</v>
      </c>
      <c r="J9" s="45">
        <f>IF(DAY(OctDom1)=1,OctDom1+13,OctDom1+20)</f>
        <v>44849</v>
      </c>
      <c r="K9" s="10">
        <f>IF(DAY(OctDom1)=1,OctDom1+14,OctDom1+21)</f>
        <v>44850</v>
      </c>
      <c r="L9" s="5"/>
      <c r="N9" s="55"/>
      <c r="O9" s="67"/>
      <c r="P9" s="56"/>
      <c r="Q9" s="68"/>
    </row>
    <row r="10" spans="3:17" ht="36" customHeight="1" x14ac:dyDescent="0.2">
      <c r="C10" s="4"/>
      <c r="D10" s="90"/>
      <c r="E10" s="10">
        <f>IF(DAY(OctDom1)=1,OctDom1+15,OctDom1+22)</f>
        <v>44851</v>
      </c>
      <c r="F10" s="45">
        <f>IF(DAY(OctDom1)=1,OctDom1+16,OctDom1+23)</f>
        <v>44852</v>
      </c>
      <c r="G10" s="45">
        <f>IF(DAY(OctDom1)=1,OctDom1+17,OctDom1+24)</f>
        <v>44853</v>
      </c>
      <c r="H10" s="45">
        <f>IF(DAY(OctDom1)=1,OctDom1+18,OctDom1+25)</f>
        <v>44854</v>
      </c>
      <c r="I10" s="45">
        <f>IF(DAY(OctDom1)=1,OctDom1+19,OctDom1+26)</f>
        <v>44855</v>
      </c>
      <c r="J10" s="45">
        <f>IF(DAY(OctDom1)=1,OctDom1+20,OctDom1+27)</f>
        <v>44856</v>
      </c>
      <c r="K10" s="10">
        <f>IF(DAY(OctDom1)=1,OctDom1+21,OctDom1+28)</f>
        <v>44857</v>
      </c>
      <c r="L10" s="5"/>
      <c r="N10" s="71"/>
      <c r="O10" s="69"/>
      <c r="P10" s="70"/>
      <c r="Q10" s="71"/>
    </row>
    <row r="11" spans="3:17" ht="37.5" customHeight="1" x14ac:dyDescent="0.2">
      <c r="C11" s="4"/>
      <c r="D11" s="90"/>
      <c r="E11" s="10">
        <f>IF(DAY(OctDom1)=1,OctDom1+22,OctDom1+29)</f>
        <v>44858</v>
      </c>
      <c r="F11" s="45">
        <f>IF(DAY(OctDom1)=1,OctDom1+23,OctDom1+30)</f>
        <v>44859</v>
      </c>
      <c r="G11" s="45">
        <f>IF(DAY(OctDom1)=1,OctDom1+24,OctDom1+31)</f>
        <v>44860</v>
      </c>
      <c r="H11" s="45">
        <f>IF(DAY(OctDom1)=1,OctDom1+25,OctDom1+32)</f>
        <v>44861</v>
      </c>
      <c r="I11" s="45">
        <f>IF(DAY(OctDom1)=1,OctDom1+26,OctDom1+33)</f>
        <v>44862</v>
      </c>
      <c r="J11" s="45">
        <f>IF(DAY(OctDom1)=1,OctDom1+27,OctDom1+34)</f>
        <v>44863</v>
      </c>
      <c r="K11" s="10">
        <f>IF(DAY(OctDom1)=1,OctDom1+28,OctDom1+35)</f>
        <v>44864</v>
      </c>
      <c r="L11" s="5"/>
      <c r="N11" s="33"/>
      <c r="O11" s="34"/>
      <c r="P11" s="54"/>
      <c r="Q11" s="34"/>
    </row>
    <row r="12" spans="3:17" ht="18" customHeight="1" x14ac:dyDescent="0.2">
      <c r="C12" s="4"/>
      <c r="D12" s="90"/>
      <c r="E12" s="10">
        <f>IF(DAY(OctDom1)=1,OctDom1+29,OctDom1+36)</f>
        <v>44865</v>
      </c>
      <c r="F12" s="10">
        <f>IF(DAY(OctDom1)=1,OctDom1+30,OctDom1+37)</f>
        <v>44866</v>
      </c>
      <c r="G12" s="10">
        <f>IF(DAY(OctDom1)=1,OctDom1+31,OctDom1+38)</f>
        <v>44867</v>
      </c>
      <c r="H12" s="10">
        <f>IF(DAY(OctDom1)=1,OctDom1+32,OctDom1+39)</f>
        <v>44868</v>
      </c>
      <c r="I12" s="10">
        <f>IF(DAY(OctDom1)=1,OctDom1+33,OctDom1+40)</f>
        <v>44869</v>
      </c>
      <c r="J12" s="10">
        <f>IF(DAY(OctDom1)=1,OctDom1+34,OctDom1+41)</f>
        <v>44870</v>
      </c>
      <c r="K12" s="10">
        <f>IF(DAY(OctDom1)=1,OctDom1+35,OctDom1+42)</f>
        <v>44871</v>
      </c>
      <c r="L12" s="5"/>
      <c r="N12" s="72"/>
      <c r="O12" s="72"/>
      <c r="P12" s="73"/>
      <c r="Q12" s="72"/>
    </row>
    <row r="13" spans="3:17" ht="30.75" customHeight="1" x14ac:dyDescent="0.2">
      <c r="C13" s="4"/>
      <c r="D13" s="91"/>
      <c r="E13" s="13"/>
      <c r="F13" s="13"/>
      <c r="G13" s="13"/>
      <c r="H13" s="13"/>
      <c r="I13" s="13"/>
      <c r="J13" s="13"/>
      <c r="K13" s="13"/>
      <c r="L13" s="14"/>
      <c r="N13" s="33"/>
      <c r="O13" s="34"/>
      <c r="P13" s="54"/>
      <c r="Q13" s="34"/>
    </row>
    <row r="14" spans="3:17" ht="43.5" customHeight="1" x14ac:dyDescent="0.2">
      <c r="C14" s="4"/>
      <c r="N14" s="72"/>
      <c r="O14" s="72"/>
      <c r="P14" s="72"/>
      <c r="Q14" s="72"/>
    </row>
    <row r="15" spans="3:17" ht="19.5" customHeight="1" x14ac:dyDescent="0.2">
      <c r="C15" s="4"/>
      <c r="N15" s="33"/>
      <c r="O15" s="34"/>
      <c r="P15" s="54"/>
      <c r="Q15" s="34"/>
    </row>
    <row r="16" spans="3:17" ht="17.25" customHeight="1" x14ac:dyDescent="0.2">
      <c r="N16" s="59"/>
      <c r="O16" s="59"/>
      <c r="P16" s="59"/>
      <c r="Q16" s="59"/>
    </row>
    <row r="17" spans="14:17" ht="21" customHeight="1" x14ac:dyDescent="0.2">
      <c r="N17" s="33"/>
      <c r="O17" s="34"/>
      <c r="P17" s="54"/>
      <c r="Q17" s="34"/>
    </row>
    <row r="18" spans="14:17" ht="21" customHeight="1" x14ac:dyDescent="0.2">
      <c r="N18" s="59"/>
      <c r="O18" s="59"/>
      <c r="P18" s="59"/>
      <c r="Q18" s="59"/>
    </row>
    <row r="19" spans="14:17" ht="18" customHeight="1" x14ac:dyDescent="0.2">
      <c r="N19" s="33"/>
      <c r="O19" s="34"/>
      <c r="P19" s="54"/>
      <c r="Q19" s="34"/>
    </row>
    <row r="20" spans="14:17" ht="18" customHeight="1" x14ac:dyDescent="0.2">
      <c r="N20" s="59"/>
      <c r="O20" s="59"/>
      <c r="P20" s="59"/>
      <c r="Q20" s="59"/>
    </row>
    <row r="21" spans="14:17" ht="18" customHeight="1" x14ac:dyDescent="0.2">
      <c r="N21" s="33"/>
      <c r="O21" s="34"/>
      <c r="P21" s="54"/>
      <c r="Q21" s="34"/>
    </row>
    <row r="22" spans="14:17" ht="18" customHeight="1" x14ac:dyDescent="0.2">
      <c r="N22" s="59"/>
      <c r="O22" s="59"/>
      <c r="P22" s="59"/>
      <c r="Q22" s="59"/>
    </row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</sheetData>
  <mergeCells count="6">
    <mergeCell ref="Q7:Q8"/>
    <mergeCell ref="D5:D13"/>
    <mergeCell ref="N5:P6"/>
    <mergeCell ref="N7:N8"/>
    <mergeCell ref="O7:O8"/>
    <mergeCell ref="P7:P8"/>
  </mergeCells>
  <conditionalFormatting sqref="E7:J7">
    <cfRule type="expression" dxfId="8" priority="3" stopIfTrue="1">
      <formula>DAY(E7)&gt;8</formula>
    </cfRule>
  </conditionalFormatting>
  <conditionalFormatting sqref="E11:K13">
    <cfRule type="expression" dxfId="7" priority="2" stopIfTrue="1">
      <formula>AND(DAY(E11)&gt;=1,DAY(E11)&lt;=15)</formula>
    </cfRule>
  </conditionalFormatting>
  <conditionalFormatting sqref="E7:K12">
    <cfRule type="expression" dxfId="6" priority="4">
      <formula>VLOOKUP(DAY(E7),DíasDeTareas,1,FALSE)=DAY(E7)</formula>
    </cfRule>
  </conditionalFormatting>
  <dataValidations count="1">
    <dataValidation allowBlank="1" showInputMessage="1" showErrorMessage="1" errorTitle="Invalid Year" error="Enter a year from 1900 to 9999, or use the scroll bar to find a year." sqref="Q5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37"/>
  <sheetViews>
    <sheetView showGridLines="0" zoomScaleNormal="100" zoomScalePageLayoutView="84" workbookViewId="0">
      <selection activeCell="V2" sqref="V2:V3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7.85546875" customWidth="1"/>
    <col min="16" max="16" width="42" style="1" customWidth="1"/>
    <col min="17" max="17" width="10.7109375" style="1" customWidth="1"/>
    <col min="18" max="18" width="23.5703125" customWidth="1"/>
    <col min="19" max="25" width="8.85546875" customWidth="1"/>
    <col min="45" max="16384" width="8.7109375" style="1"/>
  </cols>
  <sheetData>
    <row r="2" spans="4:18" ht="16.5" customHeight="1" x14ac:dyDescent="0.2">
      <c r="O2" s="40" t="s">
        <v>41</v>
      </c>
    </row>
    <row r="3" spans="4:18" ht="16.5" customHeight="1" x14ac:dyDescent="0.2">
      <c r="O3" s="40" t="s">
        <v>40</v>
      </c>
    </row>
    <row r="5" spans="4:18" ht="11.25" customHeight="1" x14ac:dyDescent="0.2"/>
    <row r="6" spans="4:18" ht="18" customHeight="1" x14ac:dyDescent="0.2">
      <c r="D6" s="4"/>
      <c r="E6" s="89" t="s">
        <v>25</v>
      </c>
      <c r="F6" s="11"/>
      <c r="G6" s="11"/>
      <c r="H6" s="11"/>
      <c r="I6" s="11"/>
      <c r="J6" s="11"/>
      <c r="K6" s="11"/>
      <c r="L6" s="11"/>
      <c r="M6" s="12"/>
      <c r="O6" s="125" t="s">
        <v>42</v>
      </c>
      <c r="P6" s="126"/>
      <c r="Q6" s="126"/>
      <c r="R6" s="18">
        <v>2022</v>
      </c>
    </row>
    <row r="7" spans="4:18" ht="21" customHeight="1" x14ac:dyDescent="0.2">
      <c r="D7" s="4"/>
      <c r="E7" s="90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27"/>
      <c r="P7" s="128"/>
      <c r="Q7" s="128"/>
      <c r="R7" s="39"/>
    </row>
    <row r="8" spans="4:18" ht="18" customHeight="1" x14ac:dyDescent="0.2">
      <c r="D8" s="4"/>
      <c r="E8" s="90"/>
      <c r="F8" s="45">
        <f>IF(DAY(NovDom1)=1,NovDom1-6,NovDom1+1)</f>
        <v>44865</v>
      </c>
      <c r="G8" s="45">
        <f>IF(DAY(NovDom1)=1,NovDom1-5,NovDom1+2)</f>
        <v>44866</v>
      </c>
      <c r="H8" s="45">
        <f>IF(DAY(NovDom1)=1,NovDom1-4,NovDom1+3)</f>
        <v>44867</v>
      </c>
      <c r="I8" s="45">
        <f>IF(DAY(NovDom1)=1,NovDom1-3,NovDom1+4)</f>
        <v>44868</v>
      </c>
      <c r="J8" s="45">
        <f>IF(DAY(NovDom1)=1,NovDom1-2,NovDom1+5)</f>
        <v>44869</v>
      </c>
      <c r="K8" s="45">
        <f>IF(DAY(NovDom1)=1,NovDom1-1,NovDom1+6)</f>
        <v>44870</v>
      </c>
      <c r="L8" s="45">
        <f>IF(DAY(NovDom1)=1,NovDom1,NovDom1+7)</f>
        <v>44871</v>
      </c>
      <c r="M8" s="5"/>
      <c r="O8" s="129" t="s">
        <v>36</v>
      </c>
      <c r="P8" s="129" t="s">
        <v>37</v>
      </c>
      <c r="Q8" s="129" t="s">
        <v>38</v>
      </c>
      <c r="R8" s="129" t="s">
        <v>39</v>
      </c>
    </row>
    <row r="9" spans="4:18" ht="18" customHeight="1" x14ac:dyDescent="0.2">
      <c r="D9" s="4"/>
      <c r="E9" s="90"/>
      <c r="F9" s="45">
        <f>IF(DAY(NovDom1)=1,NovDom1+1,NovDom1+8)</f>
        <v>44872</v>
      </c>
      <c r="G9" s="45">
        <f>IF(DAY(NovDom1)=1,NovDom1+2,NovDom1+9)</f>
        <v>44873</v>
      </c>
      <c r="H9" s="45">
        <f>IF(DAY(NovDom1)=1,NovDom1+3,NovDom1+10)</f>
        <v>44874</v>
      </c>
      <c r="I9" s="45">
        <f>IF(DAY(NovDom1)=1,NovDom1+4,NovDom1+11)</f>
        <v>44875</v>
      </c>
      <c r="J9" s="45">
        <f>IF(DAY(NovDom1)=1,NovDom1+5,NovDom1+12)</f>
        <v>44876</v>
      </c>
      <c r="K9" s="45">
        <f>IF(DAY(NovDom1)=1,NovDom1+6,NovDom1+13)</f>
        <v>44877</v>
      </c>
      <c r="L9" s="45">
        <f>IF(DAY(NovDom1)=1,NovDom1+7,NovDom1+14)</f>
        <v>44878</v>
      </c>
      <c r="M9" s="5"/>
      <c r="O9" s="130"/>
      <c r="P9" s="130"/>
      <c r="Q9" s="130"/>
      <c r="R9" s="130"/>
    </row>
    <row r="10" spans="4:18" ht="24.75" customHeight="1" x14ac:dyDescent="0.2">
      <c r="D10" s="4"/>
      <c r="E10" s="90"/>
      <c r="F10" s="45">
        <f>IF(DAY(NovDom1)=1,NovDom1+8,NovDom1+15)</f>
        <v>44879</v>
      </c>
      <c r="G10" s="45">
        <f>IF(DAY(NovDom1)=1,NovDom1+9,NovDom1+16)</f>
        <v>44880</v>
      </c>
      <c r="H10" s="45">
        <f>IF(DAY(NovDom1)=1,NovDom1+10,NovDom1+17)</f>
        <v>44881</v>
      </c>
      <c r="I10" s="45">
        <f>IF(DAY(NovDom1)=1,NovDom1+11,NovDom1+18)</f>
        <v>44882</v>
      </c>
      <c r="J10" s="45">
        <f>IF(DAY(NovDom1)=1,NovDom1+12,NovDom1+19)</f>
        <v>44883</v>
      </c>
      <c r="K10" s="45">
        <f>IF(DAY(NovDom1)=1,NovDom1+13,NovDom1+20)</f>
        <v>44884</v>
      </c>
      <c r="L10" s="45">
        <f>IF(DAY(NovDom1)=1,NovDom1+14,NovDom1+21)</f>
        <v>44885</v>
      </c>
      <c r="M10" s="5"/>
      <c r="O10" s="33"/>
      <c r="P10" s="34"/>
      <c r="Q10" s="54"/>
      <c r="R10" s="34"/>
    </row>
    <row r="11" spans="4:18" ht="25.5" customHeight="1" x14ac:dyDescent="0.2">
      <c r="D11" s="4"/>
      <c r="E11" s="90"/>
      <c r="F11" s="45">
        <f>IF(DAY(NovDom1)=1,NovDom1+15,NovDom1+22)</f>
        <v>44886</v>
      </c>
      <c r="G11" s="45">
        <f>IF(DAY(NovDom1)=1,NovDom1+16,NovDom1+23)</f>
        <v>44887</v>
      </c>
      <c r="H11" s="45">
        <f>IF(DAY(NovDom1)=1,NovDom1+17,NovDom1+24)</f>
        <v>44888</v>
      </c>
      <c r="I11" s="45">
        <f>IF(DAY(NovDom1)=1,NovDom1+18,NovDom1+25)</f>
        <v>44889</v>
      </c>
      <c r="J11" s="45">
        <f>IF(DAY(NovDom1)=1,NovDom1+19,NovDom1+26)</f>
        <v>44890</v>
      </c>
      <c r="K11" s="45">
        <f>IF(DAY(NovDom1)=1,NovDom1+20,NovDom1+27)</f>
        <v>44891</v>
      </c>
      <c r="L11" s="45">
        <f>IF(DAY(NovDom1)=1,NovDom1+21,NovDom1+28)</f>
        <v>44892</v>
      </c>
      <c r="M11" s="5"/>
      <c r="O11" s="35"/>
      <c r="P11" s="34"/>
      <c r="Q11" s="54"/>
      <c r="R11" s="36"/>
    </row>
    <row r="12" spans="4:18" ht="25.5" customHeight="1" x14ac:dyDescent="0.2">
      <c r="D12" s="4"/>
      <c r="E12" s="90"/>
      <c r="F12" s="10">
        <f>IF(DAY(NovDom1)=1,NovDom1+22,NovDom1+29)</f>
        <v>44893</v>
      </c>
      <c r="G12" s="10">
        <f>IF(DAY(NovDom1)=1,NovDom1+23,NovDom1+30)</f>
        <v>44894</v>
      </c>
      <c r="H12" s="10">
        <f>IF(DAY(NovDom1)=1,NovDom1+24,NovDom1+31)</f>
        <v>44895</v>
      </c>
      <c r="I12" s="10">
        <f>IF(DAY(NovDom1)=1,NovDom1+25,NovDom1+32)</f>
        <v>44896</v>
      </c>
      <c r="J12" s="10">
        <f>IF(DAY(NovDom1)=1,NovDom1+26,NovDom1+33)</f>
        <v>44897</v>
      </c>
      <c r="K12" s="10">
        <f>IF(DAY(NovDom1)=1,NovDom1+27,NovDom1+34)</f>
        <v>44898</v>
      </c>
      <c r="L12" s="10">
        <f>IF(DAY(NovDom1)=1,NovDom1+28,NovDom1+35)</f>
        <v>44899</v>
      </c>
      <c r="M12" s="5"/>
      <c r="O12" s="33"/>
      <c r="P12" s="34"/>
      <c r="Q12" s="54"/>
      <c r="R12" s="34"/>
    </row>
    <row r="13" spans="4:18" ht="49.5" customHeight="1" x14ac:dyDescent="0.2">
      <c r="D13" s="4"/>
      <c r="E13" s="90"/>
      <c r="F13" s="10">
        <f>IF(DAY(NovDom1)=1,NovDom1+29,NovDom1+36)</f>
        <v>44900</v>
      </c>
      <c r="G13" s="10">
        <f>IF(DAY(NovDom1)=1,NovDom1+30,NovDom1+37)</f>
        <v>44901</v>
      </c>
      <c r="H13" s="10">
        <f>IF(DAY(NovDom1)=1,NovDom1+31,NovDom1+38)</f>
        <v>44902</v>
      </c>
      <c r="I13" s="10">
        <f>IF(DAY(NovDom1)=1,NovDom1+32,NovDom1+39)</f>
        <v>44903</v>
      </c>
      <c r="J13" s="10">
        <f>IF(DAY(NovDom1)=1,NovDom1+33,NovDom1+40)</f>
        <v>44904</v>
      </c>
      <c r="K13" s="10">
        <f>IF(DAY(NovDom1)=1,NovDom1+34,NovDom1+41)</f>
        <v>44905</v>
      </c>
      <c r="L13" s="10">
        <f>IF(DAY(NovDom1)=1,NovDom1+35,NovDom1+42)</f>
        <v>44906</v>
      </c>
      <c r="M13" s="5"/>
      <c r="O13" s="35"/>
      <c r="P13" s="36"/>
      <c r="Q13" s="57"/>
      <c r="R13" s="36"/>
    </row>
    <row r="14" spans="4:18" ht="23.25" customHeight="1" x14ac:dyDescent="0.2">
      <c r="D14" s="4"/>
      <c r="E14" s="91"/>
      <c r="F14" s="13"/>
      <c r="G14" s="13"/>
      <c r="H14" s="13"/>
      <c r="I14" s="13"/>
      <c r="J14" s="13"/>
      <c r="K14" s="13"/>
      <c r="L14" s="13"/>
      <c r="M14" s="14"/>
      <c r="O14" s="33"/>
      <c r="P14" s="34"/>
      <c r="Q14" s="54"/>
      <c r="R14" s="34"/>
    </row>
    <row r="15" spans="4:18" ht="26.25" customHeight="1" x14ac:dyDescent="0.2">
      <c r="D15" s="4"/>
      <c r="O15" s="35"/>
      <c r="P15" s="36"/>
      <c r="Q15" s="57"/>
      <c r="R15" s="36"/>
    </row>
    <row r="16" spans="4:18" ht="29.25" customHeight="1" x14ac:dyDescent="0.2">
      <c r="D16" s="4"/>
      <c r="O16" s="33"/>
      <c r="P16" s="34"/>
      <c r="Q16" s="54"/>
      <c r="R16" s="34"/>
    </row>
    <row r="17" spans="15:18" ht="26.25" customHeight="1" x14ac:dyDescent="0.2">
      <c r="O17" s="35"/>
      <c r="P17" s="36"/>
      <c r="Q17" s="57"/>
      <c r="R17" s="36"/>
    </row>
    <row r="18" spans="15:18" ht="18" customHeight="1" x14ac:dyDescent="0.2">
      <c r="O18" s="33"/>
      <c r="P18" s="34"/>
      <c r="Q18" s="54"/>
      <c r="R18" s="34"/>
    </row>
    <row r="19" spans="15:18" ht="18" customHeight="1" x14ac:dyDescent="0.2">
      <c r="O19" s="35"/>
      <c r="P19" s="36"/>
      <c r="Q19" s="57"/>
      <c r="R19" s="36"/>
    </row>
    <row r="20" spans="15:18" ht="18" customHeight="1" x14ac:dyDescent="0.2">
      <c r="O20" s="33"/>
      <c r="P20" s="34"/>
      <c r="Q20" s="54"/>
      <c r="R20" s="34"/>
    </row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4"/>
    <mergeCell ref="O6:Q7"/>
    <mergeCell ref="O8:O9"/>
    <mergeCell ref="P8:P9"/>
    <mergeCell ref="Q8:Q9"/>
  </mergeCells>
  <conditionalFormatting sqref="F8:K8">
    <cfRule type="expression" dxfId="5" priority="3" stopIfTrue="1">
      <formula>DAY(F8)&gt;8</formula>
    </cfRule>
  </conditionalFormatting>
  <conditionalFormatting sqref="F12:L14">
    <cfRule type="expression" dxfId="4" priority="2" stopIfTrue="1">
      <formula>AND(DAY(F12)&gt;=1,DAY(F12)&lt;=15)</formula>
    </cfRule>
  </conditionalFormatting>
  <conditionalFormatting sqref="F8:L13">
    <cfRule type="expression" dxfId="3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36"/>
  <sheetViews>
    <sheetView showGridLines="0" zoomScaleNormal="100" zoomScalePageLayoutView="84" workbookViewId="0">
      <selection activeCell="Y13" sqref="Y13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11.28515625" customWidth="1"/>
    <col min="16" max="16" width="44.7109375" style="1" customWidth="1"/>
    <col min="17" max="17" width="16" style="1" customWidth="1"/>
    <col min="18" max="18" width="10.7109375" customWidth="1"/>
    <col min="19" max="25" width="8.85546875" customWidth="1"/>
    <col min="45" max="16384" width="8.7109375" style="1"/>
  </cols>
  <sheetData>
    <row r="2" spans="4:18" ht="16.5" customHeight="1" x14ac:dyDescent="0.2">
      <c r="O2" s="40" t="s">
        <v>41</v>
      </c>
    </row>
    <row r="3" spans="4:18" ht="16.5" customHeight="1" x14ac:dyDescent="0.2">
      <c r="E3" s="40"/>
    </row>
    <row r="4" spans="4:18" ht="11.25" customHeight="1" x14ac:dyDescent="0.2"/>
    <row r="5" spans="4:18" ht="18" customHeight="1" x14ac:dyDescent="0.2">
      <c r="D5" s="4"/>
      <c r="E5" s="89" t="s">
        <v>13</v>
      </c>
      <c r="F5" s="11"/>
      <c r="G5" s="11"/>
      <c r="H5" s="11"/>
      <c r="I5" s="11"/>
      <c r="J5" s="11"/>
      <c r="K5" s="11"/>
      <c r="L5" s="11"/>
      <c r="M5" s="12"/>
      <c r="O5" s="125" t="s">
        <v>42</v>
      </c>
      <c r="P5" s="126"/>
      <c r="Q5" s="126"/>
      <c r="R5" s="18">
        <v>2022</v>
      </c>
    </row>
    <row r="6" spans="4:18" ht="21" customHeight="1" x14ac:dyDescent="0.2">
      <c r="D6" s="4"/>
      <c r="E6" s="90"/>
      <c r="F6" s="2" t="s">
        <v>8</v>
      </c>
      <c r="G6" s="2" t="s">
        <v>1</v>
      </c>
      <c r="H6" s="2" t="s">
        <v>9</v>
      </c>
      <c r="I6" s="2" t="s">
        <v>10</v>
      </c>
      <c r="J6" s="2" t="s">
        <v>11</v>
      </c>
      <c r="K6" s="2" t="s">
        <v>0</v>
      </c>
      <c r="L6" s="2" t="s">
        <v>12</v>
      </c>
      <c r="M6" s="5"/>
      <c r="O6" s="127"/>
      <c r="P6" s="128"/>
      <c r="Q6" s="128"/>
      <c r="R6" s="39"/>
    </row>
    <row r="7" spans="4:18" ht="18" customHeight="1" x14ac:dyDescent="0.2">
      <c r="D7" s="4"/>
      <c r="E7" s="90"/>
      <c r="F7" s="10">
        <f>IF(DAY(DicDom1)=1,DicDom1-6,DicDom1+1)</f>
        <v>44893</v>
      </c>
      <c r="G7" s="10">
        <f>IF(DAY(DicDom1)=1,DicDom1-5,DicDom1+2)</f>
        <v>44894</v>
      </c>
      <c r="H7" s="10">
        <f>IF(DAY(DicDom1)=1,DicDom1-4,DicDom1+3)</f>
        <v>44895</v>
      </c>
      <c r="I7" s="10">
        <f>IF(DAY(DicDom1)=1,DicDom1-3,DicDom1+4)</f>
        <v>44896</v>
      </c>
      <c r="J7" s="10">
        <f>IF(DAY(DicDom1)=1,DicDom1-2,DicDom1+5)</f>
        <v>44897</v>
      </c>
      <c r="K7" s="10">
        <f>IF(DAY(DicDom1)=1,DicDom1-1,DicDom1+6)</f>
        <v>44898</v>
      </c>
      <c r="L7" s="10">
        <f>IF(DAY(DicDom1)=1,DicDom1,DicDom1+7)</f>
        <v>44899</v>
      </c>
      <c r="M7" s="5"/>
      <c r="O7" s="129" t="s">
        <v>36</v>
      </c>
      <c r="P7" s="129" t="s">
        <v>37</v>
      </c>
      <c r="Q7" s="129" t="s">
        <v>38</v>
      </c>
      <c r="R7" s="129" t="s">
        <v>39</v>
      </c>
    </row>
    <row r="8" spans="4:18" ht="18" customHeight="1" x14ac:dyDescent="0.2">
      <c r="D8" s="4"/>
      <c r="E8" s="90"/>
      <c r="F8" s="10">
        <f>IF(DAY(DicDom1)=1,DicDom1+1,DicDom1+8)</f>
        <v>44900</v>
      </c>
      <c r="G8" s="10">
        <f>IF(DAY(DicDom1)=1,DicDom1+2,DicDom1+9)</f>
        <v>44901</v>
      </c>
      <c r="H8" s="10">
        <f>IF(DAY(DicDom1)=1,DicDom1+3,DicDom1+10)</f>
        <v>44902</v>
      </c>
      <c r="I8" s="10">
        <f>IF(DAY(DicDom1)=1,DicDom1+4,DicDom1+11)</f>
        <v>44903</v>
      </c>
      <c r="J8" s="10">
        <f>IF(DAY(DicDom1)=1,DicDom1+5,DicDom1+12)</f>
        <v>44904</v>
      </c>
      <c r="K8" s="10">
        <f>IF(DAY(DicDom1)=1,DicDom1+6,DicDom1+13)</f>
        <v>44905</v>
      </c>
      <c r="L8" s="10">
        <f>IF(DAY(DicDom1)=1,DicDom1+7,DicDom1+14)</f>
        <v>44906</v>
      </c>
      <c r="M8" s="5"/>
      <c r="O8" s="130"/>
      <c r="P8" s="130"/>
      <c r="Q8" s="130"/>
      <c r="R8" s="130"/>
    </row>
    <row r="9" spans="4:18" ht="18" customHeight="1" x14ac:dyDescent="0.2">
      <c r="D9" s="4"/>
      <c r="E9" s="90"/>
      <c r="F9" s="10">
        <f>IF(DAY(DicDom1)=1,DicDom1+8,DicDom1+15)</f>
        <v>44907</v>
      </c>
      <c r="G9" s="10">
        <f>IF(DAY(DicDom1)=1,DicDom1+9,DicDom1+16)</f>
        <v>44908</v>
      </c>
      <c r="H9" s="10">
        <f>IF(DAY(DicDom1)=1,DicDom1+10,DicDom1+17)</f>
        <v>44909</v>
      </c>
      <c r="I9" s="10">
        <f>IF(DAY(DicDom1)=1,DicDom1+11,DicDom1+18)</f>
        <v>44910</v>
      </c>
      <c r="J9" s="10">
        <f>IF(DAY(DicDom1)=1,DicDom1+12,DicDom1+19)</f>
        <v>44911</v>
      </c>
      <c r="K9" s="10">
        <f>IF(DAY(DicDom1)=1,DicDom1+13,DicDom1+20)</f>
        <v>44912</v>
      </c>
      <c r="L9" s="10">
        <f>IF(DAY(DicDom1)=1,DicDom1+14,DicDom1+21)</f>
        <v>44913</v>
      </c>
      <c r="M9" s="5"/>
      <c r="O9" s="33"/>
      <c r="P9" s="34"/>
      <c r="Q9" s="38"/>
      <c r="R9" s="34"/>
    </row>
    <row r="10" spans="4:18" ht="18" customHeight="1" x14ac:dyDescent="0.2">
      <c r="D10" s="4"/>
      <c r="E10" s="90"/>
      <c r="F10" s="10">
        <f>IF(DAY(DicDom1)=1,DicDom1+15,DicDom1+22)</f>
        <v>44914</v>
      </c>
      <c r="G10" s="10">
        <f>IF(DAY(DicDom1)=1,DicDom1+16,DicDom1+23)</f>
        <v>44915</v>
      </c>
      <c r="H10" s="10">
        <f>IF(DAY(DicDom1)=1,DicDom1+17,DicDom1+24)</f>
        <v>44916</v>
      </c>
      <c r="I10" s="10">
        <f>IF(DAY(DicDom1)=1,DicDom1+18,DicDom1+25)</f>
        <v>44917</v>
      </c>
      <c r="J10" s="10">
        <f>IF(DAY(DicDom1)=1,DicDom1+19,DicDom1+26)</f>
        <v>44918</v>
      </c>
      <c r="K10" s="10">
        <f>IF(DAY(DicDom1)=1,DicDom1+20,DicDom1+27)</f>
        <v>44919</v>
      </c>
      <c r="L10" s="10">
        <f>IF(DAY(DicDom1)=1,DicDom1+21,DicDom1+28)</f>
        <v>44920</v>
      </c>
      <c r="M10" s="5"/>
      <c r="O10" s="35"/>
      <c r="P10" s="36"/>
      <c r="Q10" s="36"/>
      <c r="R10" s="36"/>
    </row>
    <row r="11" spans="4:18" ht="18.75" customHeight="1" x14ac:dyDescent="0.2">
      <c r="D11" s="4"/>
      <c r="E11" s="90"/>
      <c r="F11" s="10">
        <f>IF(DAY(DicDom1)=1,DicDom1+22,DicDom1+29)</f>
        <v>44921</v>
      </c>
      <c r="G11" s="10">
        <f>IF(DAY(DicDom1)=1,DicDom1+23,DicDom1+30)</f>
        <v>44922</v>
      </c>
      <c r="H11" s="10">
        <f>IF(DAY(DicDom1)=1,DicDom1+24,DicDom1+31)</f>
        <v>44923</v>
      </c>
      <c r="I11" s="10">
        <f>IF(DAY(DicDom1)=1,DicDom1+25,DicDom1+32)</f>
        <v>44924</v>
      </c>
      <c r="J11" s="10">
        <f>IF(DAY(DicDom1)=1,DicDom1+26,DicDom1+33)</f>
        <v>44925</v>
      </c>
      <c r="K11" s="10">
        <f>IF(DAY(DicDom1)=1,DicDom1+27,DicDom1+34)</f>
        <v>44926</v>
      </c>
      <c r="L11" s="10">
        <f>IF(DAY(DicDom1)=1,DicDom1+28,DicDom1+35)</f>
        <v>44927</v>
      </c>
      <c r="M11" s="5"/>
      <c r="O11" s="33"/>
      <c r="P11" s="36"/>
      <c r="Q11" s="36"/>
      <c r="R11" s="36"/>
    </row>
    <row r="12" spans="4:18" ht="18" customHeight="1" x14ac:dyDescent="0.2">
      <c r="D12" s="4"/>
      <c r="E12" s="90"/>
      <c r="F12" s="10">
        <f>IF(DAY(DicDom1)=1,DicDom1+29,DicDom1+36)</f>
        <v>44928</v>
      </c>
      <c r="G12" s="10">
        <f>IF(DAY(DicDom1)=1,DicDom1+30,DicDom1+37)</f>
        <v>44929</v>
      </c>
      <c r="H12" s="10">
        <f>IF(DAY(DicDom1)=1,DicDom1+31,DicDom1+38)</f>
        <v>44930</v>
      </c>
      <c r="I12" s="10">
        <f>IF(DAY(DicDom1)=1,DicDom1+32,DicDom1+39)</f>
        <v>44931</v>
      </c>
      <c r="J12" s="10">
        <f>IF(DAY(DicDom1)=1,DicDom1+33,DicDom1+40)</f>
        <v>44932</v>
      </c>
      <c r="K12" s="10">
        <f>IF(DAY(DicDom1)=1,DicDom1+34,DicDom1+41)</f>
        <v>44933</v>
      </c>
      <c r="L12" s="10">
        <f>IF(DAY(DicDom1)=1,DicDom1+35,DicDom1+42)</f>
        <v>44934</v>
      </c>
      <c r="M12" s="5"/>
      <c r="O12" s="35"/>
      <c r="P12" s="36"/>
      <c r="Q12" s="37"/>
      <c r="R12" s="36"/>
    </row>
    <row r="13" spans="4:18" ht="18" customHeight="1" x14ac:dyDescent="0.2">
      <c r="D13" s="4"/>
      <c r="E13" s="91"/>
      <c r="F13" s="13"/>
      <c r="G13" s="13"/>
      <c r="H13" s="13"/>
      <c r="I13" s="13"/>
      <c r="J13" s="13"/>
      <c r="K13" s="13"/>
      <c r="L13" s="13"/>
      <c r="M13" s="14"/>
      <c r="O13" s="33"/>
      <c r="P13" s="34"/>
      <c r="Q13" s="38"/>
      <c r="R13" s="34"/>
    </row>
    <row r="14" spans="4:18" ht="18" customHeight="1" x14ac:dyDescent="0.2">
      <c r="D14" s="4"/>
      <c r="O14" s="35"/>
      <c r="P14" s="36"/>
      <c r="Q14" s="37"/>
      <c r="R14" s="36"/>
    </row>
    <row r="15" spans="4:18" ht="32.25" customHeight="1" x14ac:dyDescent="0.2">
      <c r="D15" s="4"/>
      <c r="O15" s="33"/>
      <c r="P15" s="167"/>
      <c r="Q15" s="38"/>
      <c r="R15" s="34"/>
    </row>
    <row r="16" spans="4:18" ht="18" customHeight="1" x14ac:dyDescent="0.2">
      <c r="O16" s="35"/>
      <c r="P16" s="36"/>
      <c r="Q16" s="37"/>
      <c r="R16" s="36"/>
    </row>
    <row r="17" spans="15:18" ht="18" customHeight="1" x14ac:dyDescent="0.2">
      <c r="O17" s="33"/>
      <c r="P17" s="34"/>
      <c r="Q17" s="34"/>
      <c r="R17" s="34"/>
    </row>
    <row r="18" spans="15:18" ht="18" customHeight="1" x14ac:dyDescent="0.2">
      <c r="O18" s="35"/>
      <c r="P18" s="36"/>
      <c r="Q18" s="36"/>
      <c r="R18" s="36"/>
    </row>
    <row r="19" spans="15:18" ht="18" customHeight="1" x14ac:dyDescent="0.2">
      <c r="O19" s="33"/>
      <c r="P19" s="34"/>
      <c r="Q19" s="38"/>
      <c r="R19" s="34"/>
    </row>
    <row r="20" spans="15:18" ht="18" customHeight="1" x14ac:dyDescent="0.2"/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</sheetData>
  <mergeCells count="6">
    <mergeCell ref="R7:R8"/>
    <mergeCell ref="E5:E13"/>
    <mergeCell ref="O5:Q6"/>
    <mergeCell ref="O7:O8"/>
    <mergeCell ref="P7:P8"/>
    <mergeCell ref="Q7:Q8"/>
  </mergeCells>
  <conditionalFormatting sqref="F7:K7">
    <cfRule type="expression" dxfId="2" priority="3" stopIfTrue="1">
      <formula>DAY(F7)&gt;8</formula>
    </cfRule>
  </conditionalFormatting>
  <conditionalFormatting sqref="F11:L13">
    <cfRule type="expression" dxfId="1" priority="2" stopIfTrue="1">
      <formula>AND(DAY(F11)&gt;=1,DAY(F11)&lt;=15)</formula>
    </cfRule>
  </conditionalFormatting>
  <conditionalFormatting sqref="F7:L12">
    <cfRule type="expression" dxfId="0" priority="4">
      <formula>VLOOKUP(DAY(F7),DíasDeTareas,1,FALSE)=DAY(F7)</formula>
    </cfRule>
  </conditionalFormatting>
  <dataValidations count="1">
    <dataValidation allowBlank="1" showInputMessage="1" showErrorMessage="1" errorTitle="Invalid Year" error="Enter a year from 1900 to 9999, or use the scroll bar to find a year." sqref="R5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Q38"/>
  <sheetViews>
    <sheetView showGridLines="0" zoomScaleNormal="100" zoomScalePageLayoutView="84" workbookViewId="0">
      <selection activeCell="S7" sqref="S7"/>
    </sheetView>
  </sheetViews>
  <sheetFormatPr baseColWidth="10" defaultColWidth="8.7109375" defaultRowHeight="16.5" customHeight="1" x14ac:dyDescent="0.2"/>
  <cols>
    <col min="1" max="1" width="4.7109375" style="1" customWidth="1"/>
    <col min="2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11.140625" style="1" customWidth="1"/>
    <col min="16" max="16" width="31.7109375" style="1" customWidth="1"/>
    <col min="17" max="17" width="10.5703125" customWidth="1"/>
    <col min="18" max="18" width="24.28515625" customWidth="1"/>
    <col min="19" max="24" width="8.85546875" customWidth="1"/>
    <col min="44" max="16384" width="8.7109375" style="1"/>
  </cols>
  <sheetData>
    <row r="2" spans="4:18" ht="16.5" customHeight="1" x14ac:dyDescent="0.2">
      <c r="O2" s="40" t="s">
        <v>41</v>
      </c>
    </row>
    <row r="3" spans="4:18" ht="16.5" customHeight="1" x14ac:dyDescent="0.2">
      <c r="O3" s="40" t="s">
        <v>40</v>
      </c>
    </row>
    <row r="6" spans="4:18" ht="11.25" customHeight="1" x14ac:dyDescent="0.2"/>
    <row r="7" spans="4:18" ht="18" customHeight="1" x14ac:dyDescent="0.2">
      <c r="D7" s="4"/>
      <c r="E7" s="89" t="s">
        <v>34</v>
      </c>
      <c r="F7" s="11"/>
      <c r="G7" s="11"/>
      <c r="H7" s="11"/>
      <c r="I7" s="11"/>
      <c r="J7" s="11"/>
      <c r="K7" s="11"/>
      <c r="L7" s="11"/>
      <c r="M7" s="12"/>
      <c r="O7" s="125" t="s">
        <v>42</v>
      </c>
      <c r="P7" s="126"/>
      <c r="Q7" s="126"/>
      <c r="R7" s="18">
        <v>2022</v>
      </c>
    </row>
    <row r="8" spans="4:18" ht="21" customHeight="1" x14ac:dyDescent="0.2">
      <c r="D8" s="4"/>
      <c r="E8" s="90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27"/>
      <c r="P8" s="128"/>
      <c r="Q8" s="128"/>
      <c r="R8" s="39"/>
    </row>
    <row r="9" spans="4:18" ht="18" customHeight="1" x14ac:dyDescent="0.2">
      <c r="D9" s="4"/>
      <c r="E9" s="90"/>
      <c r="F9" s="10">
        <f>IF(DAY(FebDom1)=1,FebDom1-6,FebDom1+1)</f>
        <v>44592</v>
      </c>
      <c r="G9" s="10">
        <f>IF(DAY(FebDom1)=1,FebDom1-5,FebDom1+2)</f>
        <v>44593</v>
      </c>
      <c r="H9" s="10">
        <f>IF(DAY(FebDom1)=1,FebDom1-4,FebDom1+3)</f>
        <v>44594</v>
      </c>
      <c r="I9" s="10">
        <f>IF(DAY(FebDom1)=1,FebDom1-3,FebDom1+4)</f>
        <v>44595</v>
      </c>
      <c r="J9" s="10">
        <f>IF(DAY(FebDom1)=1,FebDom1-2,FebDom1+5)</f>
        <v>44596</v>
      </c>
      <c r="K9" s="10">
        <f>IF(DAY(FebDom1)=1,FebDom1-1,FebDom1+6)</f>
        <v>44597</v>
      </c>
      <c r="L9" s="10">
        <f>IF(DAY(FebDom1)=1,FebDom1,FebDom1+7)</f>
        <v>44598</v>
      </c>
      <c r="M9" s="5"/>
      <c r="O9" s="129" t="s">
        <v>36</v>
      </c>
      <c r="P9" s="129" t="s">
        <v>37</v>
      </c>
      <c r="Q9" s="129" t="s">
        <v>38</v>
      </c>
      <c r="R9" s="129" t="s">
        <v>39</v>
      </c>
    </row>
    <row r="10" spans="4:18" ht="18" customHeight="1" x14ac:dyDescent="0.2">
      <c r="D10" s="4"/>
      <c r="E10" s="90"/>
      <c r="F10" s="10">
        <f>IF(DAY(FebDom1)=1,FebDom1+1,FebDom1+8)</f>
        <v>44599</v>
      </c>
      <c r="G10" s="45">
        <f>IF(DAY(FebDom1)=1,FebDom1+2,FebDom1+9)</f>
        <v>44600</v>
      </c>
      <c r="H10" s="61">
        <f>IF(DAY(FebDom1)=1,FebDom1+3,FebDom1+10)</f>
        <v>44601</v>
      </c>
      <c r="I10" s="10">
        <f>IF(DAY(FebDom1)=1,FebDom1+4,FebDom1+11)</f>
        <v>44602</v>
      </c>
      <c r="J10" s="10">
        <f>IF(DAY(FebDom1)=1,FebDom1+5,FebDom1+12)</f>
        <v>44603</v>
      </c>
      <c r="K10" s="10">
        <f>IF(DAY(FebDom1)=1,FebDom1+6,FebDom1+13)</f>
        <v>44604</v>
      </c>
      <c r="L10" s="10">
        <f>IF(DAY(FebDom1)=1,FebDom1+7,FebDom1+14)</f>
        <v>44605</v>
      </c>
      <c r="M10" s="5"/>
      <c r="O10" s="130"/>
      <c r="P10" s="130"/>
      <c r="Q10" s="130"/>
      <c r="R10" s="130"/>
    </row>
    <row r="11" spans="4:18" ht="18" customHeight="1" x14ac:dyDescent="0.2">
      <c r="D11" s="4"/>
      <c r="E11" s="90"/>
      <c r="F11" s="10">
        <f>IF(DAY(FebDom1)=1,FebDom1+8,FebDom1+15)</f>
        <v>44606</v>
      </c>
      <c r="G11" s="10">
        <f>IF(DAY(FebDom1)=1,FebDom1+9,FebDom1+16)</f>
        <v>44607</v>
      </c>
      <c r="H11" s="10">
        <f>IF(DAY(FebDom1)=1,FebDom1+10,FebDom1+17)</f>
        <v>44608</v>
      </c>
      <c r="I11" s="45">
        <f>IF(DAY(FebDom1)=1,FebDom1+11,FebDom1+18)</f>
        <v>44609</v>
      </c>
      <c r="J11" s="10">
        <f>IF(DAY(FebDom1)=1,FebDom1+12,FebDom1+19)</f>
        <v>44610</v>
      </c>
      <c r="K11" s="10">
        <f>IF(DAY(FebDom1)=1,FebDom1+13,FebDom1+20)</f>
        <v>44611</v>
      </c>
      <c r="L11" s="10">
        <f>IF(DAY(FebDom1)=1,FebDom1+14,FebDom1+21)</f>
        <v>44612</v>
      </c>
      <c r="M11" s="5"/>
      <c r="O11" s="133"/>
      <c r="P11" s="124"/>
      <c r="Q11" s="122"/>
      <c r="R11" s="124"/>
    </row>
    <row r="12" spans="4:18" ht="13.5" customHeight="1" x14ac:dyDescent="0.2">
      <c r="D12" s="4"/>
      <c r="E12" s="90"/>
      <c r="F12" s="10">
        <f>IF(DAY(FebDom1)=1,FebDom1+15,FebDom1+22)</f>
        <v>44613</v>
      </c>
      <c r="G12" s="45">
        <f>IF(DAY(FebDom1)=1,FebDom1+16,FebDom1+23)</f>
        <v>44614</v>
      </c>
      <c r="H12" s="10">
        <f>IF(DAY(FebDom1)=1,FebDom1+17,FebDom1+24)</f>
        <v>44615</v>
      </c>
      <c r="I12" s="10">
        <f>IF(DAY(FebDom1)=1,FebDom1+18,FebDom1+25)</f>
        <v>44616</v>
      </c>
      <c r="J12" s="10">
        <f>IF(DAY(FebDom1)=1,FebDom1+19,FebDom1+26)</f>
        <v>44617</v>
      </c>
      <c r="K12" s="10">
        <f>IF(DAY(FebDom1)=1,FebDom1+20,FebDom1+27)</f>
        <v>44618</v>
      </c>
      <c r="L12" s="10">
        <f>IF(DAY(FebDom1)=1,FebDom1+21,FebDom1+28)</f>
        <v>44619</v>
      </c>
      <c r="M12" s="5"/>
      <c r="O12" s="134"/>
      <c r="P12" s="123"/>
      <c r="Q12" s="123"/>
      <c r="R12" s="123"/>
    </row>
    <row r="13" spans="4:18" ht="20.25" customHeight="1" x14ac:dyDescent="0.2">
      <c r="D13" s="4"/>
      <c r="E13" s="90"/>
      <c r="F13" s="10">
        <f>IF(DAY(FebDom1)=1,FebDom1+22,FebDom1+29)</f>
        <v>44620</v>
      </c>
      <c r="G13" s="10">
        <f>IF(DAY(FebDom1)=1,FebDom1+23,FebDom1+30)</f>
        <v>44621</v>
      </c>
      <c r="H13" s="45">
        <f>IF(DAY(FebDom1)=1,FebDom1+24,FebDom1+31)</f>
        <v>44622</v>
      </c>
      <c r="I13" s="10">
        <f>IF(DAY(FebDom1)=1,FebDom1+25,FebDom1+32)</f>
        <v>44623</v>
      </c>
      <c r="J13" s="10">
        <f>IF(DAY(FebDom1)=1,FebDom1+26,FebDom1+33)</f>
        <v>44624</v>
      </c>
      <c r="K13" s="10">
        <f>IF(DAY(FebDom1)=1,FebDom1+27,FebDom1+34)</f>
        <v>44625</v>
      </c>
      <c r="L13" s="10">
        <f>IF(DAY(FebDom1)=1,FebDom1+28,FebDom1+35)</f>
        <v>44626</v>
      </c>
      <c r="M13" s="5"/>
      <c r="O13" s="137"/>
      <c r="P13" s="135"/>
      <c r="Q13" s="110"/>
      <c r="R13" s="112"/>
    </row>
    <row r="14" spans="4:18" ht="18" customHeight="1" x14ac:dyDescent="0.2">
      <c r="D14" s="4"/>
      <c r="E14" s="90"/>
      <c r="F14" s="10">
        <f>IF(DAY(FebDom1)=1,FebDom1+29,FebDom1+36)</f>
        <v>44627</v>
      </c>
      <c r="G14" s="10">
        <f>IF(DAY(FebDom1)=1,FebDom1+30,FebDom1+37)</f>
        <v>44628</v>
      </c>
      <c r="H14" s="10">
        <f>IF(DAY(FebDom1)=1,FebDom1+31,FebDom1+38)</f>
        <v>44629</v>
      </c>
      <c r="I14" s="10">
        <f>IF(DAY(FebDom1)=1,FebDom1+32,FebDom1+39)</f>
        <v>44630</v>
      </c>
      <c r="J14" s="10">
        <f>IF(DAY(FebDom1)=1,FebDom1+33,FebDom1+40)</f>
        <v>44631</v>
      </c>
      <c r="K14" s="10">
        <f>IF(DAY(FebDom1)=1,FebDom1+34,FebDom1+41)</f>
        <v>44632</v>
      </c>
      <c r="L14" s="10">
        <f>IF(DAY(FebDom1)=1,FebDom1+35,FebDom1+42)</f>
        <v>44633</v>
      </c>
      <c r="M14" s="5"/>
      <c r="O14" s="138"/>
      <c r="P14" s="136"/>
      <c r="Q14" s="111"/>
      <c r="R14" s="113"/>
    </row>
    <row r="15" spans="4:18" ht="18" customHeight="1" x14ac:dyDescent="0.2">
      <c r="D15" s="4"/>
      <c r="E15" s="91"/>
      <c r="F15" s="13"/>
      <c r="G15" s="13"/>
      <c r="H15" s="13"/>
      <c r="I15" s="13"/>
      <c r="J15" s="13"/>
      <c r="K15" s="13"/>
      <c r="L15" s="13"/>
      <c r="M15" s="14"/>
      <c r="O15" s="114"/>
      <c r="P15" s="116"/>
      <c r="Q15" s="118"/>
      <c r="R15" s="120"/>
    </row>
    <row r="16" spans="4:18" ht="18" customHeight="1" x14ac:dyDescent="0.2">
      <c r="D16" s="4"/>
      <c r="O16" s="115"/>
      <c r="P16" s="117"/>
      <c r="Q16" s="119"/>
      <c r="R16" s="121"/>
    </row>
    <row r="17" spans="4:18" ht="18" customHeight="1" x14ac:dyDescent="0.2">
      <c r="D17" s="4"/>
      <c r="O17" s="131"/>
      <c r="P17" s="112"/>
      <c r="Q17" s="47"/>
      <c r="R17" s="46"/>
    </row>
    <row r="18" spans="4:18" ht="18" customHeight="1" x14ac:dyDescent="0.2">
      <c r="O18" s="132"/>
      <c r="P18" s="113"/>
      <c r="Q18" s="49"/>
      <c r="R18" s="48"/>
    </row>
    <row r="19" spans="4:18" ht="18" customHeight="1" x14ac:dyDescent="0.2">
      <c r="O19" s="33"/>
      <c r="P19" s="34"/>
      <c r="Q19" s="34"/>
      <c r="R19" s="34"/>
    </row>
    <row r="20" spans="4:18" ht="18" customHeight="1" x14ac:dyDescent="0.2">
      <c r="O20" s="35"/>
      <c r="P20" s="36"/>
      <c r="Q20" s="36"/>
      <c r="R20" s="36"/>
    </row>
    <row r="21" spans="4:18" ht="18" customHeight="1" x14ac:dyDescent="0.2">
      <c r="O21" s="33"/>
      <c r="P21" s="34"/>
      <c r="Q21" s="38"/>
      <c r="R21" s="34"/>
    </row>
    <row r="22" spans="4:18" ht="18" customHeight="1" x14ac:dyDescent="0.2">
      <c r="O22" s="35"/>
      <c r="P22" s="36"/>
      <c r="Q22" s="36"/>
      <c r="R22" s="36"/>
    </row>
    <row r="23" spans="4:18" ht="18" customHeight="1" x14ac:dyDescent="0.2"/>
    <row r="24" spans="4:18" ht="18" customHeight="1" x14ac:dyDescent="0.2">
      <c r="Q24" s="1"/>
      <c r="R24" s="1"/>
    </row>
    <row r="25" spans="4:18" ht="18" customHeight="1" x14ac:dyDescent="0.2">
      <c r="Q25" s="1"/>
      <c r="R25" s="1"/>
    </row>
    <row r="26" spans="4:18" ht="18" customHeight="1" x14ac:dyDescent="0.2">
      <c r="Q26" s="1"/>
      <c r="R26" s="1"/>
    </row>
    <row r="27" spans="4:18" ht="18" customHeight="1" x14ac:dyDescent="0.2"/>
    <row r="28" spans="4:18" ht="18" customHeight="1" x14ac:dyDescent="0.2"/>
    <row r="29" spans="4:18" ht="18" customHeight="1" x14ac:dyDescent="0.2"/>
    <row r="30" spans="4:18" ht="18" customHeight="1" x14ac:dyDescent="0.2"/>
    <row r="31" spans="4:18" ht="18" customHeight="1" x14ac:dyDescent="0.2"/>
    <row r="32" spans="4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</sheetData>
  <mergeCells count="20">
    <mergeCell ref="O17:O18"/>
    <mergeCell ref="P17:P18"/>
    <mergeCell ref="E7:E15"/>
    <mergeCell ref="P11:P12"/>
    <mergeCell ref="O11:O12"/>
    <mergeCell ref="P13:P14"/>
    <mergeCell ref="O13:O14"/>
    <mergeCell ref="Q11:Q12"/>
    <mergeCell ref="R11:R12"/>
    <mergeCell ref="O7:Q8"/>
    <mergeCell ref="O9:O10"/>
    <mergeCell ref="P9:P10"/>
    <mergeCell ref="Q9:Q10"/>
    <mergeCell ref="R9:R10"/>
    <mergeCell ref="Q13:Q14"/>
    <mergeCell ref="R13:R14"/>
    <mergeCell ref="O15:O16"/>
    <mergeCell ref="P15:P16"/>
    <mergeCell ref="Q15:Q16"/>
    <mergeCell ref="R15:R16"/>
  </mergeCells>
  <conditionalFormatting sqref="F9:K9">
    <cfRule type="expression" dxfId="33" priority="3" stopIfTrue="1">
      <formula>DAY(F9)&gt;8</formula>
    </cfRule>
  </conditionalFormatting>
  <conditionalFormatting sqref="F13:L15">
    <cfRule type="expression" dxfId="32" priority="2" stopIfTrue="1">
      <formula>AND(DAY(F13)&gt;=1,DAY(F13)&lt;=15)</formula>
    </cfRule>
  </conditionalFormatting>
  <conditionalFormatting sqref="F9:L14">
    <cfRule type="expression" dxfId="31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49"/>
  <sheetViews>
    <sheetView showGridLines="0" zoomScaleNormal="100" zoomScalePageLayoutView="84" workbookViewId="0">
      <selection activeCell="C37" sqref="C37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9.5703125" customWidth="1"/>
    <col min="16" max="16" width="29.140625" style="1" customWidth="1"/>
    <col min="17" max="17" width="10.7109375" style="1" customWidth="1"/>
    <col min="18" max="18" width="17.7109375" customWidth="1"/>
    <col min="19" max="25" width="8.85546875" customWidth="1"/>
    <col min="45" max="16384" width="8.7109375" style="1"/>
  </cols>
  <sheetData>
    <row r="2" spans="4:44" ht="16.5" customHeight="1" x14ac:dyDescent="0.2">
      <c r="O2" s="1"/>
    </row>
    <row r="3" spans="4:44" ht="16.5" customHeight="1" x14ac:dyDescent="0.2">
      <c r="O3" s="40" t="s">
        <v>41</v>
      </c>
    </row>
    <row r="4" spans="4:44" ht="16.5" customHeight="1" x14ac:dyDescent="0.2">
      <c r="O4" s="40" t="s">
        <v>40</v>
      </c>
    </row>
    <row r="5" spans="4:44" ht="16.5" customHeight="1" x14ac:dyDescent="0.2">
      <c r="O5" s="1"/>
    </row>
    <row r="6" spans="4:44" ht="11.25" customHeight="1" x14ac:dyDescent="0.2">
      <c r="O6" s="1"/>
    </row>
    <row r="7" spans="4:44" ht="18" customHeight="1" x14ac:dyDescent="0.2">
      <c r="D7" s="4"/>
      <c r="E7" s="89" t="s">
        <v>33</v>
      </c>
      <c r="F7" s="11"/>
      <c r="G7" s="11"/>
      <c r="H7" s="11"/>
      <c r="I7" s="11"/>
      <c r="J7" s="11"/>
      <c r="K7" s="11"/>
      <c r="L7" s="11"/>
      <c r="M7" s="12"/>
      <c r="O7" s="125" t="s">
        <v>42</v>
      </c>
      <c r="P7" s="126"/>
      <c r="Q7" s="126"/>
      <c r="R7" s="18">
        <v>2022</v>
      </c>
    </row>
    <row r="8" spans="4:44" ht="21" customHeight="1" x14ac:dyDescent="0.2">
      <c r="D8" s="4"/>
      <c r="E8" s="90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27"/>
      <c r="P8" s="128"/>
      <c r="Q8" s="128"/>
      <c r="R8" s="39"/>
    </row>
    <row r="9" spans="4:44" ht="18" customHeight="1" x14ac:dyDescent="0.2">
      <c r="D9" s="4"/>
      <c r="E9" s="90"/>
      <c r="F9" s="10">
        <f>IF(DAY(MarDom1)=1,MarDom1-6,MarDom1+1)</f>
        <v>44620</v>
      </c>
      <c r="G9" s="10">
        <f>IF(DAY(MarDom1)=1,MarDom1-5,MarDom1+2)</f>
        <v>44621</v>
      </c>
      <c r="H9" s="10">
        <f>IF(DAY(MarDom1)=1,MarDom1-4,MarDom1+3)</f>
        <v>44622</v>
      </c>
      <c r="I9" s="10">
        <f>IF(DAY(MarDom1)=1,MarDom1-3,MarDom1+4)</f>
        <v>44623</v>
      </c>
      <c r="J9" s="10">
        <f>IF(DAY(MarDom1)=1,MarDom1-2,MarDom1+5)</f>
        <v>44624</v>
      </c>
      <c r="K9" s="10">
        <f>IF(DAY(MarDom1)=1,MarDom1-1,MarDom1+6)</f>
        <v>44625</v>
      </c>
      <c r="L9" s="10">
        <f>IF(DAY(MarDom1)=1,MarDom1,MarDom1+7)</f>
        <v>44626</v>
      </c>
      <c r="M9" s="5"/>
      <c r="O9" s="129" t="s">
        <v>36</v>
      </c>
      <c r="P9" s="129" t="s">
        <v>37</v>
      </c>
      <c r="Q9" s="129" t="s">
        <v>38</v>
      </c>
      <c r="R9" s="129" t="s">
        <v>39</v>
      </c>
    </row>
    <row r="10" spans="4:44" ht="18" customHeight="1" x14ac:dyDescent="0.2">
      <c r="D10" s="4"/>
      <c r="E10" s="90"/>
      <c r="F10" s="10">
        <f>IF(DAY(MarDom1)=1,MarDom1+1,MarDom1+8)</f>
        <v>44627</v>
      </c>
      <c r="G10" s="45">
        <f>IF(DAY(MarDom1)=1,MarDom1+2,MarDom1+9)</f>
        <v>44628</v>
      </c>
      <c r="H10" s="45">
        <f>IF(DAY(MarDom1)=1,MarDom1+3,MarDom1+10)</f>
        <v>44629</v>
      </c>
      <c r="I10" s="45">
        <f>IF(DAY(MarDom1)=1,MarDom1+4,MarDom1+11)</f>
        <v>44630</v>
      </c>
      <c r="J10" s="10">
        <f>IF(DAY(MarDom1)=1,MarDom1+5,MarDom1+12)</f>
        <v>44631</v>
      </c>
      <c r="K10" s="10">
        <f>IF(DAY(MarDom1)=1,MarDom1+6,MarDom1+13)</f>
        <v>44632</v>
      </c>
      <c r="L10" s="10">
        <f>IF(DAY(MarDom1)=1,MarDom1+7,MarDom1+14)</f>
        <v>44633</v>
      </c>
      <c r="M10" s="5"/>
      <c r="O10" s="130"/>
      <c r="P10" s="130"/>
      <c r="Q10" s="130"/>
      <c r="R10" s="130"/>
    </row>
    <row r="11" spans="4:44" ht="18" customHeight="1" x14ac:dyDescent="0.2">
      <c r="D11" s="4"/>
      <c r="E11" s="90"/>
      <c r="F11" s="10">
        <f>IF(DAY(MarDom1)=1,MarDom1+8,MarDom1+15)</f>
        <v>44634</v>
      </c>
      <c r="G11" s="45">
        <f>IF(DAY(MarDom1)=1,MarDom1+9,MarDom1+16)</f>
        <v>44635</v>
      </c>
      <c r="H11" s="45">
        <f>IF(DAY(MarDom1)=1,MarDom1+10,MarDom1+17)</f>
        <v>44636</v>
      </c>
      <c r="I11" s="45">
        <f>IF(DAY(MarDom1)=1,MarDom1+11,MarDom1+18)</f>
        <v>44637</v>
      </c>
      <c r="J11" s="10">
        <f>IF(DAY(MarDom1)=1,MarDom1+12,MarDom1+19)</f>
        <v>44638</v>
      </c>
      <c r="K11" s="10">
        <f>IF(DAY(MarDom1)=1,MarDom1+13,MarDom1+20)</f>
        <v>44639</v>
      </c>
      <c r="L11" s="10">
        <f>IF(DAY(MarDom1)=1,MarDom1+14,MarDom1+21)</f>
        <v>44640</v>
      </c>
      <c r="M11" s="5"/>
      <c r="O11" s="124"/>
      <c r="P11" s="124"/>
      <c r="Q11" s="122"/>
      <c r="R11" s="124"/>
    </row>
    <row r="12" spans="4:44" ht="18" customHeight="1" x14ac:dyDescent="0.2">
      <c r="D12" s="4"/>
      <c r="E12" s="90"/>
      <c r="F12" s="10">
        <f>IF(DAY(MarDom1)=1,MarDom1+15,MarDom1+22)</f>
        <v>44641</v>
      </c>
      <c r="G12" s="45">
        <f>IF(DAY(MarDom1)=1,MarDom1+16,MarDom1+23)</f>
        <v>44642</v>
      </c>
      <c r="H12" s="45">
        <f>IF(DAY(MarDom1)=1,MarDom1+17,MarDom1+24)</f>
        <v>44643</v>
      </c>
      <c r="I12" s="45">
        <f>IF(DAY(MarDom1)=1,MarDom1+18,MarDom1+25)</f>
        <v>44644</v>
      </c>
      <c r="J12" s="10">
        <f>IF(DAY(MarDom1)=1,MarDom1+19,MarDom1+26)</f>
        <v>44645</v>
      </c>
      <c r="K12" s="10">
        <f>IF(DAY(MarDom1)=1,MarDom1+20,MarDom1+27)</f>
        <v>44646</v>
      </c>
      <c r="L12" s="10">
        <f>IF(DAY(MarDom1)=1,MarDom1+21,MarDom1+28)</f>
        <v>44647</v>
      </c>
      <c r="M12" s="5"/>
      <c r="O12" s="123"/>
      <c r="P12" s="123"/>
      <c r="Q12" s="123"/>
      <c r="R12" s="123"/>
    </row>
    <row r="13" spans="4:44" ht="18.75" customHeight="1" x14ac:dyDescent="0.2">
      <c r="D13" s="4"/>
      <c r="E13" s="90"/>
      <c r="F13" s="10">
        <f>IF(DAY(MarDom1)=1,MarDom1+22,MarDom1+29)</f>
        <v>44648</v>
      </c>
      <c r="G13" s="45">
        <f>IF(DAY(MarDom1)=1,MarDom1+23,MarDom1+30)</f>
        <v>44649</v>
      </c>
      <c r="H13" s="45">
        <f>IF(DAY(MarDom1)=1,MarDom1+24,MarDom1+31)</f>
        <v>44650</v>
      </c>
      <c r="I13" s="45">
        <f>IF(DAY(MarDom1)=1,MarDom1+25,MarDom1+32)</f>
        <v>44651</v>
      </c>
      <c r="J13" s="10">
        <f>IF(DAY(MarDom1)=1,MarDom1+26,MarDom1+33)</f>
        <v>44652</v>
      </c>
      <c r="K13" s="10">
        <f>IF(DAY(MarDom1)=1,MarDom1+27,MarDom1+34)</f>
        <v>44653</v>
      </c>
      <c r="L13" s="10">
        <f>IF(DAY(MarDom1)=1,MarDom1+28,MarDom1+35)</f>
        <v>44654</v>
      </c>
      <c r="M13" s="5"/>
      <c r="O13" s="112"/>
      <c r="P13" s="112"/>
      <c r="Q13" s="110"/>
      <c r="R13" s="112"/>
    </row>
    <row r="14" spans="4:44" ht="18" customHeight="1" x14ac:dyDescent="0.2">
      <c r="D14" s="4"/>
      <c r="E14" s="90"/>
      <c r="F14" s="10">
        <f>IF(DAY(MarDom1)=1,MarDom1+29,MarDom1+36)</f>
        <v>44655</v>
      </c>
      <c r="G14" s="10">
        <f>IF(DAY(MarDom1)=1,MarDom1+30,MarDom1+37)</f>
        <v>44656</v>
      </c>
      <c r="H14" s="10">
        <f>IF(DAY(MarDom1)=1,MarDom1+31,MarDom1+38)</f>
        <v>44657</v>
      </c>
      <c r="I14" s="10">
        <f>IF(DAY(MarDom1)=1,MarDom1+32,MarDom1+39)</f>
        <v>44658</v>
      </c>
      <c r="J14" s="10">
        <f>IF(DAY(MarDom1)=1,MarDom1+33,MarDom1+40)</f>
        <v>44659</v>
      </c>
      <c r="K14" s="10">
        <f>IF(DAY(MarDom1)=1,MarDom1+34,MarDom1+41)</f>
        <v>44660</v>
      </c>
      <c r="L14" s="10">
        <f>IF(DAY(MarDom1)=1,MarDom1+35,MarDom1+42)</f>
        <v>44661</v>
      </c>
      <c r="M14" s="5"/>
      <c r="O14" s="113"/>
      <c r="P14" s="113"/>
      <c r="Q14" s="113"/>
      <c r="R14" s="113"/>
    </row>
    <row r="15" spans="4:44" ht="18" customHeight="1" x14ac:dyDescent="0.2">
      <c r="D15" s="4"/>
      <c r="E15" s="91"/>
      <c r="F15" s="13"/>
      <c r="G15" s="13"/>
      <c r="H15" s="13"/>
      <c r="I15" s="13"/>
      <c r="J15" s="13"/>
      <c r="K15" s="13"/>
      <c r="L15" s="13"/>
      <c r="M15" s="14"/>
      <c r="O15" s="124"/>
      <c r="P15" s="124"/>
      <c r="Q15" s="122"/>
      <c r="R15" s="124"/>
    </row>
    <row r="16" spans="4:44" ht="18" customHeight="1" x14ac:dyDescent="0.2">
      <c r="D16" s="4"/>
      <c r="F16"/>
      <c r="I16"/>
      <c r="J16"/>
      <c r="K16"/>
      <c r="L16"/>
      <c r="M16"/>
      <c r="N16"/>
      <c r="O16" s="123"/>
      <c r="P16" s="123"/>
      <c r="Q16" s="139"/>
      <c r="R16" s="123"/>
      <c r="AJ16" s="1"/>
      <c r="AK16" s="1"/>
      <c r="AL16" s="1"/>
      <c r="AM16" s="1"/>
      <c r="AN16" s="1"/>
      <c r="AO16" s="1"/>
      <c r="AP16" s="1"/>
      <c r="AQ16" s="1"/>
      <c r="AR16" s="1"/>
    </row>
    <row r="17" spans="4:44" ht="18" customHeight="1" x14ac:dyDescent="0.2">
      <c r="D17" s="4"/>
      <c r="F17"/>
      <c r="I17"/>
      <c r="J17"/>
      <c r="K17"/>
      <c r="L17"/>
      <c r="M17"/>
      <c r="N17"/>
      <c r="O17" s="35"/>
      <c r="P17" s="35"/>
      <c r="Q17" s="44"/>
      <c r="R17" s="35"/>
      <c r="AJ17" s="1"/>
      <c r="AK17" s="1"/>
      <c r="AL17" s="1"/>
      <c r="AM17" s="1"/>
      <c r="AN17" s="1"/>
      <c r="AO17" s="1"/>
      <c r="AP17" s="1"/>
      <c r="AQ17" s="1"/>
      <c r="AR17" s="1"/>
    </row>
    <row r="18" spans="4:44" ht="18" customHeight="1" x14ac:dyDescent="0.2">
      <c r="F18"/>
      <c r="I18"/>
      <c r="J18"/>
      <c r="K18"/>
      <c r="L18"/>
      <c r="M18"/>
      <c r="N18"/>
      <c r="O18" s="120"/>
      <c r="P18" s="120"/>
      <c r="Q18" s="118"/>
      <c r="R18" s="120"/>
      <c r="AJ18" s="1"/>
      <c r="AK18" s="1"/>
      <c r="AL18" s="1"/>
      <c r="AM18" s="1"/>
      <c r="AN18" s="1"/>
      <c r="AO18" s="1"/>
      <c r="AP18" s="1"/>
      <c r="AQ18" s="1"/>
      <c r="AR18" s="1"/>
    </row>
    <row r="19" spans="4:44" ht="18" customHeight="1" x14ac:dyDescent="0.2">
      <c r="F19"/>
      <c r="I19"/>
      <c r="J19"/>
      <c r="K19"/>
      <c r="L19"/>
      <c r="M19"/>
      <c r="N19"/>
      <c r="O19" s="121"/>
      <c r="P19" s="121"/>
      <c r="Q19" s="119"/>
      <c r="R19" s="121"/>
      <c r="AJ19" s="1"/>
      <c r="AK19" s="1"/>
      <c r="AL19" s="1"/>
      <c r="AM19" s="1"/>
      <c r="AN19" s="1"/>
      <c r="AO19" s="1"/>
      <c r="AP19" s="1"/>
      <c r="AQ19" s="1"/>
      <c r="AR19" s="1"/>
    </row>
    <row r="20" spans="4:44" ht="23.25" customHeight="1" x14ac:dyDescent="0.2">
      <c r="F20"/>
      <c r="I20"/>
      <c r="J20"/>
      <c r="K20"/>
      <c r="L20"/>
      <c r="M20"/>
      <c r="N20"/>
      <c r="O20" s="35"/>
      <c r="P20" s="36"/>
      <c r="Q20" s="37"/>
      <c r="R20" s="36"/>
      <c r="AJ20" s="1"/>
      <c r="AK20" s="1"/>
      <c r="AL20" s="1"/>
      <c r="AM20" s="1"/>
      <c r="AN20" s="1"/>
      <c r="AO20" s="1"/>
      <c r="AP20" s="1"/>
      <c r="AQ20" s="1"/>
      <c r="AR20" s="1"/>
    </row>
    <row r="21" spans="4:44" ht="18" customHeight="1" x14ac:dyDescent="0.2">
      <c r="F21"/>
      <c r="I21"/>
      <c r="J21"/>
      <c r="K21"/>
      <c r="L21"/>
      <c r="M21"/>
      <c r="N21"/>
      <c r="O21" s="33"/>
      <c r="P21" s="34"/>
      <c r="Q21" s="38"/>
      <c r="R21" s="34"/>
      <c r="AJ21" s="1"/>
      <c r="AK21" s="1"/>
      <c r="AL21" s="1"/>
      <c r="AM21" s="1"/>
      <c r="AN21" s="1"/>
      <c r="AO21" s="1"/>
      <c r="AP21" s="1"/>
      <c r="AQ21" s="1"/>
      <c r="AR21" s="1"/>
    </row>
    <row r="22" spans="4:44" ht="18" customHeight="1" x14ac:dyDescent="0.2">
      <c r="F22"/>
      <c r="I22"/>
      <c r="J22"/>
      <c r="K22"/>
      <c r="L22"/>
      <c r="M22"/>
      <c r="N22"/>
      <c r="P22"/>
      <c r="Q22"/>
      <c r="AJ22" s="1"/>
      <c r="AK22" s="1"/>
      <c r="AL22" s="1"/>
      <c r="AM22" s="1"/>
      <c r="AN22" s="1"/>
      <c r="AO22" s="1"/>
      <c r="AP22" s="1"/>
      <c r="AQ22" s="1"/>
      <c r="AR22" s="1"/>
    </row>
    <row r="23" spans="4:44" ht="18" customHeight="1" x14ac:dyDescent="0.2">
      <c r="F23"/>
      <c r="I23"/>
      <c r="J23"/>
      <c r="K23"/>
      <c r="L23"/>
      <c r="M23"/>
      <c r="N23"/>
      <c r="P23"/>
      <c r="Q23"/>
      <c r="AJ23" s="1"/>
      <c r="AK23" s="1"/>
      <c r="AL23" s="1"/>
      <c r="AM23" s="1"/>
      <c r="AN23" s="1"/>
      <c r="AO23" s="1"/>
      <c r="AP23" s="1"/>
      <c r="AQ23" s="1"/>
      <c r="AR23" s="1"/>
    </row>
    <row r="24" spans="4:44" ht="18" customHeight="1" x14ac:dyDescent="0.2">
      <c r="F24"/>
      <c r="I24"/>
      <c r="J24"/>
      <c r="K24"/>
      <c r="L24"/>
      <c r="M24"/>
      <c r="N24"/>
      <c r="P24"/>
      <c r="Q24"/>
      <c r="AJ24" s="1"/>
      <c r="AK24" s="1"/>
      <c r="AL24" s="1"/>
      <c r="AM24" s="1"/>
      <c r="AN24" s="1"/>
      <c r="AO24" s="1"/>
      <c r="AP24" s="1"/>
      <c r="AQ24" s="1"/>
      <c r="AR24" s="1"/>
    </row>
    <row r="25" spans="4:44" ht="18" customHeight="1" x14ac:dyDescent="0.2">
      <c r="F25"/>
      <c r="I25"/>
      <c r="J25"/>
      <c r="K25"/>
      <c r="L25"/>
      <c r="M25"/>
      <c r="N25"/>
      <c r="P25"/>
      <c r="Q25"/>
      <c r="AJ25" s="1"/>
      <c r="AK25" s="1"/>
      <c r="AL25" s="1"/>
      <c r="AM25" s="1"/>
      <c r="AN25" s="1"/>
      <c r="AO25" s="1"/>
      <c r="AP25" s="1"/>
      <c r="AQ25" s="1"/>
      <c r="AR25" s="1"/>
    </row>
    <row r="26" spans="4:44" ht="18" customHeight="1" x14ac:dyDescent="0.2">
      <c r="F26"/>
      <c r="I26"/>
      <c r="J26"/>
      <c r="K26"/>
      <c r="L26"/>
      <c r="M26"/>
      <c r="N26"/>
      <c r="P26"/>
      <c r="Q26"/>
      <c r="AJ26" s="1"/>
      <c r="AK26" s="1"/>
      <c r="AL26" s="1"/>
      <c r="AM26" s="1"/>
      <c r="AN26" s="1"/>
      <c r="AO26" s="1"/>
      <c r="AP26" s="1"/>
      <c r="AQ26" s="1"/>
      <c r="AR26" s="1"/>
    </row>
    <row r="27" spans="4:44" ht="18" customHeight="1" x14ac:dyDescent="0.2">
      <c r="F27"/>
      <c r="I27"/>
      <c r="J27"/>
      <c r="K27"/>
      <c r="L27"/>
      <c r="M27"/>
      <c r="N27"/>
      <c r="P27"/>
      <c r="Q27"/>
      <c r="AJ27" s="1"/>
      <c r="AK27" s="1"/>
      <c r="AL27" s="1"/>
      <c r="AM27" s="1"/>
      <c r="AN27" s="1"/>
      <c r="AO27" s="1"/>
      <c r="AP27" s="1"/>
      <c r="AQ27" s="1"/>
      <c r="AR27" s="1"/>
    </row>
    <row r="28" spans="4:44" ht="18" customHeight="1" x14ac:dyDescent="0.2">
      <c r="F28"/>
      <c r="I28"/>
      <c r="J28"/>
      <c r="K28"/>
      <c r="L28"/>
      <c r="M28"/>
      <c r="N28"/>
      <c r="P28"/>
      <c r="Q28"/>
      <c r="AJ28" s="1"/>
      <c r="AK28" s="1"/>
      <c r="AL28" s="1"/>
      <c r="AM28" s="1"/>
      <c r="AN28" s="1"/>
      <c r="AO28" s="1"/>
      <c r="AP28" s="1"/>
      <c r="AQ28" s="1"/>
      <c r="AR28" s="1"/>
    </row>
    <row r="29" spans="4:44" ht="18" customHeight="1" x14ac:dyDescent="0.2">
      <c r="F29"/>
      <c r="I29"/>
      <c r="J29"/>
      <c r="K29"/>
      <c r="L29"/>
      <c r="M29"/>
      <c r="N29"/>
      <c r="P29"/>
      <c r="Q29"/>
      <c r="AJ29" s="1"/>
      <c r="AK29" s="1"/>
      <c r="AL29" s="1"/>
      <c r="AM29" s="1"/>
      <c r="AN29" s="1"/>
      <c r="AO29" s="1"/>
      <c r="AP29" s="1"/>
      <c r="AQ29" s="1"/>
      <c r="AR29" s="1"/>
    </row>
    <row r="30" spans="4:44" ht="18" customHeight="1" x14ac:dyDescent="0.2">
      <c r="F30"/>
      <c r="I30"/>
      <c r="J30"/>
      <c r="K30"/>
      <c r="L30"/>
      <c r="M30"/>
      <c r="N30"/>
      <c r="P30"/>
      <c r="Q30"/>
      <c r="AJ30" s="1"/>
      <c r="AK30" s="1"/>
      <c r="AL30" s="1"/>
      <c r="AM30" s="1"/>
      <c r="AN30" s="1"/>
      <c r="AO30" s="1"/>
      <c r="AP30" s="1"/>
      <c r="AQ30" s="1"/>
      <c r="AR30" s="1"/>
    </row>
    <row r="31" spans="4:44" ht="18" customHeight="1" x14ac:dyDescent="0.2">
      <c r="F31"/>
      <c r="I31"/>
      <c r="J31"/>
      <c r="K31"/>
      <c r="L31"/>
      <c r="M31"/>
      <c r="N31"/>
      <c r="P31"/>
      <c r="Q31"/>
      <c r="AJ31" s="1"/>
      <c r="AK31" s="1"/>
      <c r="AL31" s="1"/>
      <c r="AM31" s="1"/>
      <c r="AN31" s="1"/>
      <c r="AO31" s="1"/>
      <c r="AP31" s="1"/>
      <c r="AQ31" s="1"/>
      <c r="AR31" s="1"/>
    </row>
    <row r="32" spans="4:44" ht="18" customHeight="1" x14ac:dyDescent="0.2">
      <c r="F32"/>
      <c r="I32"/>
      <c r="J32"/>
      <c r="K32"/>
      <c r="L32"/>
      <c r="M32"/>
      <c r="N32"/>
      <c r="P32"/>
      <c r="Q32"/>
      <c r="AJ32" s="1"/>
      <c r="AK32" s="1"/>
      <c r="AL32" s="1"/>
      <c r="AM32" s="1"/>
      <c r="AN32" s="1"/>
      <c r="AO32" s="1"/>
      <c r="AP32" s="1"/>
      <c r="AQ32" s="1"/>
      <c r="AR32" s="1"/>
    </row>
    <row r="33" spans="6:44" ht="18" customHeight="1" x14ac:dyDescent="0.2">
      <c r="F33"/>
      <c r="I33"/>
      <c r="J33"/>
      <c r="K33"/>
      <c r="L33"/>
      <c r="M33"/>
      <c r="N33"/>
      <c r="P33"/>
      <c r="Q33"/>
      <c r="AJ33" s="1"/>
      <c r="AK33" s="1"/>
      <c r="AL33" s="1"/>
      <c r="AM33" s="1"/>
      <c r="AN33" s="1"/>
      <c r="AO33" s="1"/>
      <c r="AP33" s="1"/>
      <c r="AQ33" s="1"/>
      <c r="AR33" s="1"/>
    </row>
    <row r="34" spans="6:44" ht="18" customHeight="1" x14ac:dyDescent="0.2">
      <c r="F34"/>
      <c r="I34"/>
      <c r="J34"/>
      <c r="K34"/>
      <c r="L34"/>
      <c r="M34"/>
      <c r="N34"/>
      <c r="P34"/>
      <c r="Q34"/>
      <c r="AJ34" s="1"/>
      <c r="AK34" s="1"/>
      <c r="AL34" s="1"/>
      <c r="AM34" s="1"/>
      <c r="AN34" s="1"/>
      <c r="AO34" s="1"/>
      <c r="AP34" s="1"/>
      <c r="AQ34" s="1"/>
      <c r="AR34" s="1"/>
    </row>
    <row r="35" spans="6:44" ht="18" customHeight="1" x14ac:dyDescent="0.2">
      <c r="F35"/>
      <c r="I35"/>
      <c r="J35"/>
      <c r="K35"/>
      <c r="L35"/>
      <c r="M35"/>
      <c r="N35"/>
      <c r="P35"/>
      <c r="Q35"/>
      <c r="AJ35" s="1"/>
      <c r="AK35" s="1"/>
      <c r="AL35" s="1"/>
      <c r="AM35" s="1"/>
      <c r="AN35" s="1"/>
      <c r="AO35" s="1"/>
      <c r="AP35" s="1"/>
      <c r="AQ35" s="1"/>
      <c r="AR35" s="1"/>
    </row>
    <row r="36" spans="6:44" ht="18" customHeight="1" x14ac:dyDescent="0.2">
      <c r="F36"/>
      <c r="I36"/>
      <c r="J36"/>
      <c r="K36"/>
      <c r="L36"/>
      <c r="M36"/>
      <c r="N36"/>
      <c r="P36"/>
      <c r="Q36"/>
      <c r="AJ36" s="1"/>
      <c r="AK36" s="1"/>
      <c r="AL36" s="1"/>
      <c r="AM36" s="1"/>
      <c r="AN36" s="1"/>
      <c r="AO36" s="1"/>
      <c r="AP36" s="1"/>
      <c r="AQ36" s="1"/>
      <c r="AR36" s="1"/>
    </row>
    <row r="37" spans="6:44" ht="18" customHeight="1" x14ac:dyDescent="0.2">
      <c r="F37"/>
      <c r="I37"/>
      <c r="J37"/>
      <c r="K37"/>
      <c r="L37"/>
      <c r="M37"/>
      <c r="N37"/>
      <c r="P37"/>
      <c r="Q37"/>
      <c r="AJ37" s="1"/>
      <c r="AK37" s="1"/>
      <c r="AL37" s="1"/>
      <c r="AM37" s="1"/>
      <c r="AN37" s="1"/>
      <c r="AO37" s="1"/>
      <c r="AP37" s="1"/>
      <c r="AQ37" s="1"/>
      <c r="AR37" s="1"/>
    </row>
    <row r="38" spans="6:44" ht="18" customHeight="1" x14ac:dyDescent="0.2">
      <c r="F38"/>
      <c r="I38"/>
      <c r="J38"/>
      <c r="K38"/>
      <c r="L38"/>
      <c r="M38"/>
      <c r="N38"/>
      <c r="P38"/>
      <c r="Q38"/>
      <c r="AJ38" s="1"/>
      <c r="AK38" s="1"/>
      <c r="AL38" s="1"/>
      <c r="AM38" s="1"/>
      <c r="AN38" s="1"/>
      <c r="AO38" s="1"/>
      <c r="AP38" s="1"/>
      <c r="AQ38" s="1"/>
      <c r="AR38" s="1"/>
    </row>
    <row r="39" spans="6:44" ht="16.5" customHeight="1" x14ac:dyDescent="0.2">
      <c r="F39"/>
      <c r="I39"/>
      <c r="J39"/>
      <c r="K39"/>
      <c r="L39"/>
      <c r="M39"/>
      <c r="N39"/>
      <c r="P39"/>
      <c r="Q39"/>
      <c r="AJ39" s="1"/>
      <c r="AK39" s="1"/>
      <c r="AL39" s="1"/>
      <c r="AM39" s="1"/>
      <c r="AN39" s="1"/>
      <c r="AO39" s="1"/>
      <c r="AP39" s="1"/>
      <c r="AQ39" s="1"/>
      <c r="AR39" s="1"/>
    </row>
    <row r="40" spans="6:44" ht="16.5" customHeight="1" x14ac:dyDescent="0.2">
      <c r="F40"/>
      <c r="I40"/>
      <c r="J40"/>
      <c r="K40"/>
      <c r="L40"/>
      <c r="M40"/>
      <c r="N40"/>
      <c r="P40"/>
      <c r="Q40"/>
      <c r="AJ40" s="1"/>
      <c r="AK40" s="1"/>
      <c r="AL40" s="1"/>
      <c r="AM40" s="1"/>
      <c r="AN40" s="1"/>
      <c r="AO40" s="1"/>
      <c r="AP40" s="1"/>
      <c r="AQ40" s="1"/>
      <c r="AR40" s="1"/>
    </row>
    <row r="41" spans="6:44" ht="16.5" customHeight="1" x14ac:dyDescent="0.2">
      <c r="F41"/>
      <c r="I41"/>
      <c r="J41"/>
      <c r="K41"/>
      <c r="L41"/>
      <c r="M41"/>
      <c r="N41"/>
      <c r="P41"/>
      <c r="Q41"/>
      <c r="AJ41" s="1"/>
      <c r="AK41" s="1"/>
      <c r="AL41" s="1"/>
      <c r="AM41" s="1"/>
      <c r="AN41" s="1"/>
      <c r="AO41" s="1"/>
      <c r="AP41" s="1"/>
      <c r="AQ41" s="1"/>
      <c r="AR41" s="1"/>
    </row>
    <row r="42" spans="6:44" ht="16.5" customHeight="1" x14ac:dyDescent="0.2">
      <c r="F42"/>
      <c r="I42"/>
      <c r="J42"/>
      <c r="K42"/>
      <c r="L42"/>
      <c r="M42"/>
      <c r="N42"/>
      <c r="P42"/>
      <c r="Q42"/>
      <c r="AJ42" s="1"/>
      <c r="AK42" s="1"/>
      <c r="AL42" s="1"/>
      <c r="AM42" s="1"/>
      <c r="AN42" s="1"/>
      <c r="AO42" s="1"/>
      <c r="AP42" s="1"/>
      <c r="AQ42" s="1"/>
      <c r="AR42" s="1"/>
    </row>
    <row r="43" spans="6:44" ht="16.5" customHeight="1" x14ac:dyDescent="0.2">
      <c r="F43"/>
      <c r="I43"/>
      <c r="J43"/>
      <c r="K43"/>
      <c r="L43"/>
      <c r="M43"/>
      <c r="N43"/>
      <c r="P43"/>
      <c r="Q43"/>
      <c r="AJ43" s="1"/>
      <c r="AK43" s="1"/>
      <c r="AL43" s="1"/>
      <c r="AM43" s="1"/>
      <c r="AN43" s="1"/>
      <c r="AO43" s="1"/>
      <c r="AP43" s="1"/>
      <c r="AQ43" s="1"/>
      <c r="AR43" s="1"/>
    </row>
    <row r="44" spans="6:44" ht="16.5" customHeight="1" x14ac:dyDescent="0.2">
      <c r="F44"/>
      <c r="I44"/>
      <c r="J44"/>
      <c r="K44"/>
      <c r="L44"/>
      <c r="M44"/>
      <c r="N44"/>
      <c r="P44"/>
      <c r="Q44"/>
      <c r="AJ44" s="1"/>
      <c r="AK44" s="1"/>
      <c r="AL44" s="1"/>
      <c r="AM44" s="1"/>
      <c r="AN44" s="1"/>
      <c r="AO44" s="1"/>
      <c r="AP44" s="1"/>
      <c r="AQ44" s="1"/>
      <c r="AR44" s="1"/>
    </row>
    <row r="45" spans="6:44" ht="16.5" customHeight="1" x14ac:dyDescent="0.2">
      <c r="F45"/>
      <c r="I45"/>
      <c r="J45"/>
      <c r="K45"/>
      <c r="L45"/>
      <c r="M45"/>
      <c r="N45"/>
      <c r="P45"/>
      <c r="Q45"/>
      <c r="AJ45" s="1"/>
      <c r="AK45" s="1"/>
      <c r="AL45" s="1"/>
      <c r="AM45" s="1"/>
      <c r="AN45" s="1"/>
      <c r="AO45" s="1"/>
      <c r="AP45" s="1"/>
      <c r="AQ45" s="1"/>
      <c r="AR45" s="1"/>
    </row>
    <row r="46" spans="6:44" ht="16.5" customHeight="1" x14ac:dyDescent="0.2">
      <c r="F46"/>
      <c r="I46"/>
      <c r="J46"/>
      <c r="K46"/>
      <c r="L46"/>
      <c r="M46"/>
      <c r="N46"/>
      <c r="P46"/>
      <c r="Q46"/>
      <c r="AJ46" s="1"/>
      <c r="AK46" s="1"/>
      <c r="AL46" s="1"/>
      <c r="AM46" s="1"/>
      <c r="AN46" s="1"/>
      <c r="AO46" s="1"/>
      <c r="AP46" s="1"/>
      <c r="AQ46" s="1"/>
      <c r="AR46" s="1"/>
    </row>
    <row r="47" spans="6:44" ht="16.5" customHeight="1" x14ac:dyDescent="0.2">
      <c r="F47"/>
      <c r="I47"/>
      <c r="J47"/>
      <c r="K47"/>
      <c r="L47"/>
      <c r="M47"/>
      <c r="N47"/>
      <c r="P47"/>
      <c r="Q47"/>
      <c r="AJ47" s="1"/>
      <c r="AK47" s="1"/>
      <c r="AL47" s="1"/>
      <c r="AM47" s="1"/>
      <c r="AN47" s="1"/>
      <c r="AO47" s="1"/>
      <c r="AP47" s="1"/>
      <c r="AQ47" s="1"/>
      <c r="AR47" s="1"/>
    </row>
    <row r="48" spans="6:44" ht="16.5" customHeight="1" x14ac:dyDescent="0.2">
      <c r="F48"/>
      <c r="I48"/>
      <c r="J48"/>
      <c r="K48"/>
      <c r="L48"/>
      <c r="M48"/>
      <c r="N48"/>
      <c r="P48"/>
      <c r="Q48"/>
      <c r="AJ48" s="1"/>
      <c r="AK48" s="1"/>
      <c r="AL48" s="1"/>
      <c r="AM48" s="1"/>
      <c r="AN48" s="1"/>
      <c r="AO48" s="1"/>
      <c r="AP48" s="1"/>
      <c r="AQ48" s="1"/>
      <c r="AR48" s="1"/>
    </row>
    <row r="49" spans="6:44" ht="16.5" customHeight="1" x14ac:dyDescent="0.2">
      <c r="F49"/>
      <c r="I49"/>
      <c r="J49"/>
      <c r="K49"/>
      <c r="L49"/>
      <c r="M49"/>
      <c r="N49"/>
      <c r="P49"/>
      <c r="Q49"/>
      <c r="AJ49" s="1"/>
      <c r="AK49" s="1"/>
      <c r="AL49" s="1"/>
      <c r="AM49" s="1"/>
      <c r="AN49" s="1"/>
      <c r="AO49" s="1"/>
      <c r="AP49" s="1"/>
      <c r="AQ49" s="1"/>
      <c r="AR49" s="1"/>
    </row>
  </sheetData>
  <mergeCells count="22">
    <mergeCell ref="E7:E15"/>
    <mergeCell ref="O7:Q8"/>
    <mergeCell ref="O9:O10"/>
    <mergeCell ref="P9:P10"/>
    <mergeCell ref="Q9:Q10"/>
    <mergeCell ref="P13:P14"/>
    <mergeCell ref="O13:O14"/>
    <mergeCell ref="Q13:Q14"/>
    <mergeCell ref="R9:R10"/>
    <mergeCell ref="P11:P12"/>
    <mergeCell ref="O11:O12"/>
    <mergeCell ref="Q11:Q12"/>
    <mergeCell ref="R11:R12"/>
    <mergeCell ref="O18:O19"/>
    <mergeCell ref="P18:P19"/>
    <mergeCell ref="Q18:Q19"/>
    <mergeCell ref="R18:R19"/>
    <mergeCell ref="R13:R14"/>
    <mergeCell ref="P15:P16"/>
    <mergeCell ref="O15:O16"/>
    <mergeCell ref="Q15:Q16"/>
    <mergeCell ref="R15:R16"/>
  </mergeCells>
  <conditionalFormatting sqref="F9:K9">
    <cfRule type="expression" dxfId="30" priority="3" stopIfTrue="1">
      <formula>DAY(F9)&gt;8</formula>
    </cfRule>
  </conditionalFormatting>
  <conditionalFormatting sqref="F13:L15">
    <cfRule type="expression" dxfId="29" priority="2" stopIfTrue="1">
      <formula>AND(DAY(F13)&gt;=1,DAY(F13)&lt;=15)</formula>
    </cfRule>
  </conditionalFormatting>
  <conditionalFormatting sqref="F9:L14">
    <cfRule type="expression" dxfId="28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49"/>
  <sheetViews>
    <sheetView showGridLines="0" zoomScaleNormal="100" zoomScalePageLayoutView="84" workbookViewId="0">
      <selection activeCell="Z17" sqref="Z17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7.85546875" customWidth="1"/>
    <col min="16" max="16" width="33.5703125" style="1" customWidth="1"/>
    <col min="17" max="17" width="10.7109375" style="1" customWidth="1"/>
    <col min="18" max="18" width="17.140625" customWidth="1"/>
    <col min="19" max="25" width="8.85546875" customWidth="1"/>
    <col min="45" max="16384" width="8.7109375" style="1"/>
  </cols>
  <sheetData>
    <row r="2" spans="4:44" ht="16.5" customHeight="1" x14ac:dyDescent="0.2">
      <c r="O2" s="1"/>
      <c r="P2"/>
    </row>
    <row r="3" spans="4:44" ht="16.5" customHeight="1" x14ac:dyDescent="0.2">
      <c r="O3" s="40" t="s">
        <v>41</v>
      </c>
    </row>
    <row r="4" spans="4:44" ht="16.5" customHeight="1" x14ac:dyDescent="0.2">
      <c r="O4" s="40" t="s">
        <v>40</v>
      </c>
    </row>
    <row r="5" spans="4:44" ht="16.5" customHeight="1" x14ac:dyDescent="0.2">
      <c r="O5" s="1"/>
    </row>
    <row r="6" spans="4:44" ht="16.5" customHeight="1" x14ac:dyDescent="0.2">
      <c r="O6" s="1"/>
    </row>
    <row r="7" spans="4:44" ht="18" customHeight="1" x14ac:dyDescent="0.2">
      <c r="D7" s="4"/>
      <c r="E7" s="89" t="s">
        <v>32</v>
      </c>
      <c r="F7" s="11"/>
      <c r="G7" s="11"/>
      <c r="H7" s="11"/>
      <c r="I7" s="11"/>
      <c r="J7" s="11"/>
      <c r="K7" s="11"/>
      <c r="L7" s="11"/>
      <c r="M7" s="12"/>
      <c r="O7" s="125" t="s">
        <v>42</v>
      </c>
      <c r="P7" s="126"/>
      <c r="Q7" s="126"/>
      <c r="R7" s="18">
        <v>2022</v>
      </c>
    </row>
    <row r="8" spans="4:44" ht="21" customHeight="1" x14ac:dyDescent="0.2">
      <c r="D8" s="4"/>
      <c r="E8" s="90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27"/>
      <c r="P8" s="128"/>
      <c r="Q8" s="128"/>
      <c r="R8" s="39"/>
    </row>
    <row r="9" spans="4:44" ht="18" customHeight="1" x14ac:dyDescent="0.2">
      <c r="D9" s="4"/>
      <c r="E9" s="90"/>
      <c r="F9" s="45">
        <f>IF(DAY(AbrDom1)=1,AbrDom1-6,AbrDom1+1)</f>
        <v>44648</v>
      </c>
      <c r="G9" s="45">
        <f>IF(DAY(AbrDom1)=1,AbrDom1-5,AbrDom1+2)</f>
        <v>44649</v>
      </c>
      <c r="H9" s="45">
        <f>IF(DAY(AbrDom1)=1,AbrDom1-4,AbrDom1+3)</f>
        <v>44650</v>
      </c>
      <c r="I9" s="45">
        <f>IF(DAY(AbrDom1)=1,AbrDom1-3,AbrDom1+4)</f>
        <v>44651</v>
      </c>
      <c r="J9" s="45">
        <f>IF(DAY(AbrDom1)=1,AbrDom1-2,AbrDom1+5)</f>
        <v>44652</v>
      </c>
      <c r="K9" s="45">
        <f>IF(DAY(AbrDom1)=1,AbrDom1-1,AbrDom1+6)</f>
        <v>44653</v>
      </c>
      <c r="L9" s="45">
        <f>IF(DAY(AbrDom1)=1,AbrDom1,AbrDom1+7)</f>
        <v>44654</v>
      </c>
      <c r="M9" s="5"/>
      <c r="O9" s="129" t="s">
        <v>36</v>
      </c>
      <c r="P9" s="129" t="s">
        <v>37</v>
      </c>
      <c r="Q9" s="129" t="s">
        <v>38</v>
      </c>
      <c r="R9" s="129" t="s">
        <v>39</v>
      </c>
    </row>
    <row r="10" spans="4:44" ht="18" customHeight="1" x14ac:dyDescent="0.2">
      <c r="D10" s="4"/>
      <c r="E10" s="90"/>
      <c r="F10" s="45">
        <f>IF(DAY(AbrDom1)=1,AbrDom1+1,AbrDom1+8)</f>
        <v>44655</v>
      </c>
      <c r="G10" s="45">
        <f>IF(DAY(AbrDom1)=1,AbrDom1+2,AbrDom1+9)</f>
        <v>44656</v>
      </c>
      <c r="H10" s="45">
        <f>IF(DAY(AbrDom1)=1,AbrDom1+3,AbrDom1+10)</f>
        <v>44657</v>
      </c>
      <c r="I10" s="45">
        <f>IF(DAY(AbrDom1)=1,AbrDom1+4,AbrDom1+11)</f>
        <v>44658</v>
      </c>
      <c r="J10" s="45">
        <f>IF(DAY(AbrDom1)=1,AbrDom1+5,AbrDom1+12)</f>
        <v>44659</v>
      </c>
      <c r="K10" s="45">
        <f>IF(DAY(AbrDom1)=1,AbrDom1+6,AbrDom1+13)</f>
        <v>44660</v>
      </c>
      <c r="L10" s="45">
        <f>IF(DAY(AbrDom1)=1,AbrDom1+7,AbrDom1+14)</f>
        <v>44661</v>
      </c>
      <c r="M10" s="5"/>
      <c r="O10" s="130"/>
      <c r="P10" s="130"/>
      <c r="Q10" s="130"/>
      <c r="R10" s="130"/>
    </row>
    <row r="11" spans="4:44" ht="22.5" customHeight="1" x14ac:dyDescent="0.2">
      <c r="D11" s="4"/>
      <c r="E11" s="90"/>
      <c r="F11" s="45">
        <f>IF(DAY(AbrDom1)=1,AbrDom1+8,AbrDom1+15)</f>
        <v>44662</v>
      </c>
      <c r="G11" s="45">
        <f>IF(DAY(AbrDom1)=1,AbrDom1+9,AbrDom1+16)</f>
        <v>44663</v>
      </c>
      <c r="H11" s="45">
        <f>IF(DAY(AbrDom1)=1,AbrDom1+10,AbrDom1+17)</f>
        <v>44664</v>
      </c>
      <c r="I11" s="45">
        <f>IF(DAY(AbrDom1)=1,AbrDom1+11,AbrDom1+18)</f>
        <v>44665</v>
      </c>
      <c r="J11" s="45">
        <f>IF(DAY(AbrDom1)=1,AbrDom1+12,AbrDom1+19)</f>
        <v>44666</v>
      </c>
      <c r="K11" s="45">
        <f>IF(DAY(AbrDom1)=1,AbrDom1+13,AbrDom1+20)</f>
        <v>44667</v>
      </c>
      <c r="L11" s="45">
        <f>IF(DAY(AbrDom1)=1,AbrDom1+14,AbrDom1+21)</f>
        <v>44668</v>
      </c>
      <c r="M11" s="5"/>
      <c r="O11" s="33"/>
      <c r="P11" s="34"/>
      <c r="Q11" s="38"/>
      <c r="R11" s="34"/>
    </row>
    <row r="12" spans="4:44" ht="18" customHeight="1" x14ac:dyDescent="0.2">
      <c r="D12" s="4"/>
      <c r="E12" s="90"/>
      <c r="F12" s="45">
        <f>IF(DAY(AbrDom1)=1,AbrDom1+15,AbrDom1+22)</f>
        <v>44669</v>
      </c>
      <c r="G12" s="45">
        <f>IF(DAY(AbrDom1)=1,AbrDom1+16,AbrDom1+23)</f>
        <v>44670</v>
      </c>
      <c r="H12" s="45">
        <f>IF(DAY(AbrDom1)=1,AbrDom1+17,AbrDom1+24)</f>
        <v>44671</v>
      </c>
      <c r="I12" s="45">
        <f>IF(DAY(AbrDom1)=1,AbrDom1+18,AbrDom1+25)</f>
        <v>44672</v>
      </c>
      <c r="J12" s="45">
        <f>IF(DAY(AbrDom1)=1,AbrDom1+19,AbrDom1+26)</f>
        <v>44673</v>
      </c>
      <c r="K12" s="45">
        <f>IF(DAY(AbrDom1)=1,AbrDom1+20,AbrDom1+27)</f>
        <v>44674</v>
      </c>
      <c r="L12" s="45">
        <f>IF(DAY(AbrDom1)=1,AbrDom1+21,AbrDom1+28)</f>
        <v>44675</v>
      </c>
      <c r="M12" s="5"/>
      <c r="O12" s="35"/>
      <c r="P12" s="36"/>
      <c r="Q12" s="36"/>
      <c r="R12" s="36"/>
    </row>
    <row r="13" spans="4:44" ht="25.5" customHeight="1" x14ac:dyDescent="0.2">
      <c r="D13" s="4"/>
      <c r="E13" s="90"/>
      <c r="F13" s="45">
        <f>IF(DAY(AbrDom1)=1,AbrDom1+22,AbrDom1+29)</f>
        <v>44676</v>
      </c>
      <c r="G13" s="45">
        <f>IF(DAY(AbrDom1)=1,AbrDom1+23,AbrDom1+30)</f>
        <v>44677</v>
      </c>
      <c r="H13" s="45">
        <f>IF(DAY(AbrDom1)=1,AbrDom1+24,AbrDom1+31)</f>
        <v>44678</v>
      </c>
      <c r="I13" s="45">
        <f>IF(DAY(AbrDom1)=1,AbrDom1+25,AbrDom1+32)</f>
        <v>44679</v>
      </c>
      <c r="J13" s="45">
        <f>IF(DAY(AbrDom1)=1,AbrDom1+26,AbrDom1+33)</f>
        <v>44680</v>
      </c>
      <c r="K13" s="45">
        <f>IF(DAY(AbrDom1)=1,AbrDom1+27,AbrDom1+34)</f>
        <v>44681</v>
      </c>
      <c r="L13" s="45">
        <f>IF(DAY(AbrDom1)=1,AbrDom1+28,AbrDom1+35)</f>
        <v>44682</v>
      </c>
      <c r="M13" s="5"/>
      <c r="O13" s="33"/>
      <c r="P13" s="34"/>
      <c r="Q13" s="38"/>
      <c r="R13" s="34"/>
    </row>
    <row r="14" spans="4:44" ht="18" customHeight="1" x14ac:dyDescent="0.2">
      <c r="D14" s="4"/>
      <c r="E14" s="90"/>
      <c r="F14" s="10">
        <f>IF(DAY(AbrDom1)=1,AbrDom1+29,AbrDom1+36)</f>
        <v>44683</v>
      </c>
      <c r="G14" s="10">
        <f>IF(DAY(AbrDom1)=1,AbrDom1+30,AbrDom1+37)</f>
        <v>44684</v>
      </c>
      <c r="H14" s="10">
        <f>IF(DAY(AbrDom1)=1,AbrDom1+31,AbrDom1+38)</f>
        <v>44685</v>
      </c>
      <c r="I14" s="10">
        <f>IF(DAY(AbrDom1)=1,AbrDom1+32,AbrDom1+39)</f>
        <v>44686</v>
      </c>
      <c r="J14" s="10">
        <f>IF(DAY(AbrDom1)=1,AbrDom1+33,AbrDom1+40)</f>
        <v>44687</v>
      </c>
      <c r="K14" s="10">
        <f>IF(DAY(AbrDom1)=1,AbrDom1+34,AbrDom1+41)</f>
        <v>44688</v>
      </c>
      <c r="L14" s="10">
        <f>IF(DAY(AbrDom1)=1,AbrDom1+35,AbrDom1+42)</f>
        <v>44689</v>
      </c>
      <c r="M14" s="5"/>
      <c r="O14" s="35"/>
      <c r="P14" s="36"/>
      <c r="Q14" s="36"/>
      <c r="R14" s="36"/>
    </row>
    <row r="15" spans="4:44" ht="18" customHeight="1" x14ac:dyDescent="0.2">
      <c r="D15" s="4"/>
      <c r="E15" s="91"/>
      <c r="F15" s="13"/>
      <c r="G15" s="13"/>
      <c r="H15" s="13"/>
      <c r="I15" s="13"/>
      <c r="J15" s="13"/>
      <c r="K15" s="13"/>
      <c r="L15" s="13"/>
      <c r="M15" s="14"/>
      <c r="O15" s="33"/>
      <c r="P15" s="34"/>
      <c r="Q15" s="34"/>
      <c r="R15" s="34"/>
    </row>
    <row r="16" spans="4:44" ht="18" customHeight="1" x14ac:dyDescent="0.2">
      <c r="D16" s="4"/>
      <c r="F16"/>
      <c r="I16"/>
      <c r="J16"/>
      <c r="K16"/>
      <c r="L16"/>
      <c r="M16"/>
      <c r="N16"/>
      <c r="O16" s="35"/>
      <c r="P16" s="36"/>
      <c r="Q16" s="36"/>
      <c r="R16" s="36"/>
      <c r="AJ16" s="1"/>
      <c r="AK16" s="1"/>
      <c r="AL16" s="1"/>
      <c r="AM16" s="1"/>
      <c r="AN16" s="1"/>
      <c r="AO16" s="1"/>
      <c r="AP16" s="1"/>
      <c r="AQ16" s="1"/>
      <c r="AR16" s="1"/>
    </row>
    <row r="17" spans="4:44" ht="18" customHeight="1" x14ac:dyDescent="0.2">
      <c r="D17" s="4"/>
      <c r="F17"/>
      <c r="I17"/>
      <c r="J17"/>
      <c r="K17"/>
      <c r="L17"/>
      <c r="M17"/>
      <c r="N17"/>
      <c r="O17" s="33"/>
      <c r="P17" s="34"/>
      <c r="Q17" s="34"/>
      <c r="R17" s="34"/>
      <c r="AJ17" s="1"/>
      <c r="AK17" s="1"/>
      <c r="AL17" s="1"/>
      <c r="AM17" s="1"/>
      <c r="AN17" s="1"/>
      <c r="AO17" s="1"/>
      <c r="AP17" s="1"/>
      <c r="AQ17" s="1"/>
      <c r="AR17" s="1"/>
    </row>
    <row r="18" spans="4:44" ht="18" customHeight="1" x14ac:dyDescent="0.2">
      <c r="F18"/>
      <c r="I18"/>
      <c r="J18"/>
      <c r="K18"/>
      <c r="L18"/>
      <c r="M18"/>
      <c r="N18"/>
      <c r="O18" s="35"/>
      <c r="P18" s="36"/>
      <c r="Q18" s="37"/>
      <c r="R18" s="36"/>
      <c r="AJ18" s="1"/>
      <c r="AK18" s="1"/>
      <c r="AL18" s="1"/>
      <c r="AM18" s="1"/>
      <c r="AN18" s="1"/>
      <c r="AO18" s="1"/>
      <c r="AP18" s="1"/>
      <c r="AQ18" s="1"/>
      <c r="AR18" s="1"/>
    </row>
    <row r="19" spans="4:44" ht="18" customHeight="1" x14ac:dyDescent="0.2">
      <c r="F19"/>
      <c r="I19"/>
      <c r="J19"/>
      <c r="K19"/>
      <c r="L19"/>
      <c r="M19"/>
      <c r="N19"/>
      <c r="O19" s="33"/>
      <c r="P19" s="34"/>
      <c r="Q19" s="34"/>
      <c r="R19" s="34"/>
      <c r="AJ19" s="1"/>
      <c r="AK19" s="1"/>
      <c r="AL19" s="1"/>
      <c r="AM19" s="1"/>
      <c r="AN19" s="1"/>
      <c r="AO19" s="1"/>
      <c r="AP19" s="1"/>
      <c r="AQ19" s="1"/>
      <c r="AR19" s="1"/>
    </row>
    <row r="20" spans="4:44" ht="18" customHeight="1" x14ac:dyDescent="0.2">
      <c r="F20"/>
      <c r="I20"/>
      <c r="J20"/>
      <c r="K20"/>
      <c r="L20"/>
      <c r="M20"/>
      <c r="N20"/>
      <c r="O20" s="35"/>
      <c r="P20" s="36"/>
      <c r="Q20" s="36"/>
      <c r="R20" s="36"/>
      <c r="AJ20" s="1"/>
      <c r="AK20" s="1"/>
      <c r="AL20" s="1"/>
      <c r="AM20" s="1"/>
      <c r="AN20" s="1"/>
      <c r="AO20" s="1"/>
      <c r="AP20" s="1"/>
      <c r="AQ20" s="1"/>
      <c r="AR20" s="1"/>
    </row>
    <row r="21" spans="4:44" ht="18" customHeight="1" x14ac:dyDescent="0.2">
      <c r="F21"/>
      <c r="I21"/>
      <c r="J21"/>
      <c r="K21"/>
      <c r="L21"/>
      <c r="M21"/>
      <c r="N21"/>
      <c r="O21" s="33"/>
      <c r="P21" s="34"/>
      <c r="Q21" s="38"/>
      <c r="R21" s="34"/>
      <c r="AJ21" s="1"/>
      <c r="AK21" s="1"/>
      <c r="AL21" s="1"/>
      <c r="AM21" s="1"/>
      <c r="AN21" s="1"/>
      <c r="AO21" s="1"/>
      <c r="AP21" s="1"/>
      <c r="AQ21" s="1"/>
      <c r="AR21" s="1"/>
    </row>
    <row r="22" spans="4:44" ht="18" customHeight="1" x14ac:dyDescent="0.2">
      <c r="F22"/>
      <c r="I22"/>
      <c r="J22"/>
      <c r="K22"/>
      <c r="L22"/>
      <c r="M22"/>
      <c r="N22"/>
      <c r="P22"/>
      <c r="Q22"/>
      <c r="AJ22" s="1"/>
      <c r="AK22" s="1"/>
      <c r="AL22" s="1"/>
      <c r="AM22" s="1"/>
      <c r="AN22" s="1"/>
      <c r="AO22" s="1"/>
      <c r="AP22" s="1"/>
      <c r="AQ22" s="1"/>
      <c r="AR22" s="1"/>
    </row>
    <row r="23" spans="4:44" ht="18" customHeight="1" x14ac:dyDescent="0.2">
      <c r="F23"/>
      <c r="I23"/>
      <c r="J23"/>
      <c r="K23"/>
      <c r="L23"/>
      <c r="M23"/>
      <c r="N23"/>
      <c r="P23"/>
      <c r="Q23"/>
      <c r="AJ23" s="1"/>
      <c r="AK23" s="1"/>
      <c r="AL23" s="1"/>
      <c r="AM23" s="1"/>
      <c r="AN23" s="1"/>
      <c r="AO23" s="1"/>
      <c r="AP23" s="1"/>
      <c r="AQ23" s="1"/>
      <c r="AR23" s="1"/>
    </row>
    <row r="24" spans="4:44" ht="18" customHeight="1" x14ac:dyDescent="0.2">
      <c r="F24"/>
      <c r="I24"/>
      <c r="J24"/>
      <c r="K24"/>
      <c r="L24"/>
      <c r="M24"/>
      <c r="N24"/>
      <c r="P24"/>
      <c r="Q24"/>
      <c r="AJ24" s="1"/>
      <c r="AK24" s="1"/>
      <c r="AL24" s="1"/>
      <c r="AM24" s="1"/>
      <c r="AN24" s="1"/>
      <c r="AO24" s="1"/>
      <c r="AP24" s="1"/>
      <c r="AQ24" s="1"/>
      <c r="AR24" s="1"/>
    </row>
    <row r="25" spans="4:44" ht="18" customHeight="1" x14ac:dyDescent="0.2">
      <c r="F25"/>
      <c r="I25"/>
      <c r="J25"/>
      <c r="K25"/>
      <c r="L25"/>
      <c r="M25"/>
      <c r="N25"/>
      <c r="P25"/>
      <c r="Q25"/>
      <c r="AJ25" s="1"/>
      <c r="AK25" s="1"/>
      <c r="AL25" s="1"/>
      <c r="AM25" s="1"/>
      <c r="AN25" s="1"/>
      <c r="AO25" s="1"/>
      <c r="AP25" s="1"/>
      <c r="AQ25" s="1"/>
      <c r="AR25" s="1"/>
    </row>
    <row r="26" spans="4:44" ht="18" customHeight="1" x14ac:dyDescent="0.2">
      <c r="F26"/>
      <c r="I26"/>
      <c r="J26"/>
      <c r="K26"/>
      <c r="L26"/>
      <c r="M26"/>
      <c r="N26"/>
      <c r="P26"/>
      <c r="Q26"/>
      <c r="AJ26" s="1"/>
      <c r="AK26" s="1"/>
      <c r="AL26" s="1"/>
      <c r="AM26" s="1"/>
      <c r="AN26" s="1"/>
      <c r="AO26" s="1"/>
      <c r="AP26" s="1"/>
      <c r="AQ26" s="1"/>
      <c r="AR26" s="1"/>
    </row>
    <row r="27" spans="4:44" ht="18" customHeight="1" x14ac:dyDescent="0.2">
      <c r="F27"/>
      <c r="I27"/>
      <c r="J27"/>
      <c r="K27"/>
      <c r="L27"/>
      <c r="M27"/>
      <c r="N27"/>
      <c r="P27"/>
      <c r="Q27"/>
      <c r="AJ27" s="1"/>
      <c r="AK27" s="1"/>
      <c r="AL27" s="1"/>
      <c r="AM27" s="1"/>
      <c r="AN27" s="1"/>
      <c r="AO27" s="1"/>
      <c r="AP27" s="1"/>
      <c r="AQ27" s="1"/>
      <c r="AR27" s="1"/>
    </row>
    <row r="28" spans="4:44" ht="18" customHeight="1" x14ac:dyDescent="0.2">
      <c r="F28"/>
      <c r="I28"/>
      <c r="J28"/>
      <c r="K28"/>
      <c r="L28"/>
      <c r="M28"/>
      <c r="N28"/>
      <c r="P28"/>
      <c r="Q28"/>
      <c r="AJ28" s="1"/>
      <c r="AK28" s="1"/>
      <c r="AL28" s="1"/>
      <c r="AM28" s="1"/>
      <c r="AN28" s="1"/>
      <c r="AO28" s="1"/>
      <c r="AP28" s="1"/>
      <c r="AQ28" s="1"/>
      <c r="AR28" s="1"/>
    </row>
    <row r="29" spans="4:44" ht="18" customHeight="1" x14ac:dyDescent="0.2">
      <c r="F29"/>
      <c r="I29"/>
      <c r="J29"/>
      <c r="K29"/>
      <c r="L29"/>
      <c r="M29"/>
      <c r="N29"/>
      <c r="P29"/>
      <c r="Q29"/>
      <c r="AJ29" s="1"/>
      <c r="AK29" s="1"/>
      <c r="AL29" s="1"/>
      <c r="AM29" s="1"/>
      <c r="AN29" s="1"/>
      <c r="AO29" s="1"/>
      <c r="AP29" s="1"/>
      <c r="AQ29" s="1"/>
      <c r="AR29" s="1"/>
    </row>
    <row r="30" spans="4:44" ht="18" customHeight="1" x14ac:dyDescent="0.2">
      <c r="F30"/>
      <c r="I30"/>
      <c r="J30"/>
      <c r="K30"/>
      <c r="L30"/>
      <c r="M30"/>
      <c r="N30"/>
      <c r="P30"/>
      <c r="Q30"/>
      <c r="AJ30" s="1"/>
      <c r="AK30" s="1"/>
      <c r="AL30" s="1"/>
      <c r="AM30" s="1"/>
      <c r="AN30" s="1"/>
      <c r="AO30" s="1"/>
      <c r="AP30" s="1"/>
      <c r="AQ30" s="1"/>
      <c r="AR30" s="1"/>
    </row>
    <row r="31" spans="4:44" ht="18" customHeight="1" x14ac:dyDescent="0.2">
      <c r="F31"/>
      <c r="I31"/>
      <c r="J31"/>
      <c r="K31"/>
      <c r="L31"/>
      <c r="M31"/>
      <c r="N31"/>
      <c r="P31"/>
      <c r="Q31"/>
      <c r="AJ31" s="1"/>
      <c r="AK31" s="1"/>
      <c r="AL31" s="1"/>
      <c r="AM31" s="1"/>
      <c r="AN31" s="1"/>
      <c r="AO31" s="1"/>
      <c r="AP31" s="1"/>
      <c r="AQ31" s="1"/>
      <c r="AR31" s="1"/>
    </row>
    <row r="32" spans="4:44" ht="18" customHeight="1" x14ac:dyDescent="0.2">
      <c r="F32"/>
      <c r="I32"/>
      <c r="J32"/>
      <c r="K32"/>
      <c r="L32"/>
      <c r="M32"/>
      <c r="N32"/>
      <c r="P32"/>
      <c r="Q32"/>
      <c r="AJ32" s="1"/>
      <c r="AK32" s="1"/>
      <c r="AL32" s="1"/>
      <c r="AM32" s="1"/>
      <c r="AN32" s="1"/>
      <c r="AO32" s="1"/>
      <c r="AP32" s="1"/>
      <c r="AQ32" s="1"/>
      <c r="AR32" s="1"/>
    </row>
    <row r="33" spans="6:44" ht="18" customHeight="1" x14ac:dyDescent="0.2">
      <c r="F33"/>
      <c r="I33"/>
      <c r="J33"/>
      <c r="K33"/>
      <c r="L33"/>
      <c r="M33"/>
      <c r="N33"/>
      <c r="P33"/>
      <c r="Q33"/>
      <c r="AJ33" s="1"/>
      <c r="AK33" s="1"/>
      <c r="AL33" s="1"/>
      <c r="AM33" s="1"/>
      <c r="AN33" s="1"/>
      <c r="AO33" s="1"/>
      <c r="AP33" s="1"/>
      <c r="AQ33" s="1"/>
      <c r="AR33" s="1"/>
    </row>
    <row r="34" spans="6:44" ht="18" customHeight="1" x14ac:dyDescent="0.2">
      <c r="F34"/>
      <c r="I34"/>
      <c r="J34"/>
      <c r="K34"/>
      <c r="L34"/>
      <c r="M34"/>
      <c r="N34"/>
      <c r="P34"/>
      <c r="Q34"/>
      <c r="AJ34" s="1"/>
      <c r="AK34" s="1"/>
      <c r="AL34" s="1"/>
      <c r="AM34" s="1"/>
      <c r="AN34" s="1"/>
      <c r="AO34" s="1"/>
      <c r="AP34" s="1"/>
      <c r="AQ34" s="1"/>
      <c r="AR34" s="1"/>
    </row>
    <row r="35" spans="6:44" ht="18" customHeight="1" x14ac:dyDescent="0.2">
      <c r="F35"/>
      <c r="I35"/>
      <c r="J35"/>
      <c r="K35"/>
      <c r="L35"/>
      <c r="M35"/>
      <c r="N35"/>
      <c r="P35"/>
      <c r="Q35"/>
      <c r="AJ35" s="1"/>
      <c r="AK35" s="1"/>
      <c r="AL35" s="1"/>
      <c r="AM35" s="1"/>
      <c r="AN35" s="1"/>
      <c r="AO35" s="1"/>
      <c r="AP35" s="1"/>
      <c r="AQ35" s="1"/>
      <c r="AR35" s="1"/>
    </row>
    <row r="36" spans="6:44" ht="18" customHeight="1" x14ac:dyDescent="0.2">
      <c r="F36"/>
      <c r="I36"/>
      <c r="J36"/>
      <c r="K36"/>
      <c r="L36"/>
      <c r="M36"/>
      <c r="N36"/>
      <c r="P36"/>
      <c r="Q36"/>
      <c r="AJ36" s="1"/>
      <c r="AK36" s="1"/>
      <c r="AL36" s="1"/>
      <c r="AM36" s="1"/>
      <c r="AN36" s="1"/>
      <c r="AO36" s="1"/>
      <c r="AP36" s="1"/>
      <c r="AQ36" s="1"/>
      <c r="AR36" s="1"/>
    </row>
    <row r="37" spans="6:44" ht="18" customHeight="1" x14ac:dyDescent="0.2">
      <c r="F37"/>
      <c r="I37"/>
      <c r="J37"/>
      <c r="K37"/>
      <c r="L37"/>
      <c r="M37"/>
      <c r="N37"/>
      <c r="P37"/>
      <c r="Q37"/>
      <c r="AJ37" s="1"/>
      <c r="AK37" s="1"/>
      <c r="AL37" s="1"/>
      <c r="AM37" s="1"/>
      <c r="AN37" s="1"/>
      <c r="AO37" s="1"/>
      <c r="AP37" s="1"/>
      <c r="AQ37" s="1"/>
      <c r="AR37" s="1"/>
    </row>
    <row r="38" spans="6:44" ht="18" customHeight="1" x14ac:dyDescent="0.2">
      <c r="F38"/>
      <c r="I38"/>
      <c r="J38"/>
      <c r="K38"/>
      <c r="L38"/>
      <c r="M38"/>
      <c r="N38"/>
      <c r="P38"/>
      <c r="Q38"/>
      <c r="AJ38" s="1"/>
      <c r="AK38" s="1"/>
      <c r="AL38" s="1"/>
      <c r="AM38" s="1"/>
      <c r="AN38" s="1"/>
      <c r="AO38" s="1"/>
      <c r="AP38" s="1"/>
      <c r="AQ38" s="1"/>
      <c r="AR38" s="1"/>
    </row>
    <row r="39" spans="6:44" ht="16.5" customHeight="1" x14ac:dyDescent="0.2">
      <c r="F39"/>
      <c r="I39"/>
      <c r="J39"/>
      <c r="K39"/>
      <c r="L39"/>
      <c r="M39"/>
      <c r="N39"/>
      <c r="P39"/>
      <c r="Q39"/>
      <c r="AJ39" s="1"/>
      <c r="AK39" s="1"/>
      <c r="AL39" s="1"/>
      <c r="AM39" s="1"/>
      <c r="AN39" s="1"/>
      <c r="AO39" s="1"/>
      <c r="AP39" s="1"/>
      <c r="AQ39" s="1"/>
      <c r="AR39" s="1"/>
    </row>
    <row r="40" spans="6:44" ht="16.5" customHeight="1" x14ac:dyDescent="0.2">
      <c r="F40"/>
      <c r="I40"/>
      <c r="J40"/>
      <c r="K40"/>
      <c r="L40"/>
      <c r="M40"/>
      <c r="N40"/>
      <c r="P40"/>
      <c r="Q40"/>
      <c r="AJ40" s="1"/>
      <c r="AK40" s="1"/>
      <c r="AL40" s="1"/>
      <c r="AM40" s="1"/>
      <c r="AN40" s="1"/>
      <c r="AO40" s="1"/>
      <c r="AP40" s="1"/>
      <c r="AQ40" s="1"/>
      <c r="AR40" s="1"/>
    </row>
    <row r="41" spans="6:44" ht="16.5" customHeight="1" x14ac:dyDescent="0.2">
      <c r="F41"/>
      <c r="I41"/>
      <c r="J41"/>
      <c r="K41"/>
      <c r="L41"/>
      <c r="M41"/>
      <c r="N41"/>
      <c r="P41"/>
      <c r="Q41"/>
      <c r="AJ41" s="1"/>
      <c r="AK41" s="1"/>
      <c r="AL41" s="1"/>
      <c r="AM41" s="1"/>
      <c r="AN41" s="1"/>
      <c r="AO41" s="1"/>
      <c r="AP41" s="1"/>
      <c r="AQ41" s="1"/>
      <c r="AR41" s="1"/>
    </row>
    <row r="42" spans="6:44" ht="16.5" customHeight="1" x14ac:dyDescent="0.2">
      <c r="F42"/>
      <c r="I42"/>
      <c r="J42"/>
      <c r="K42"/>
      <c r="L42"/>
      <c r="M42"/>
      <c r="N42"/>
      <c r="P42"/>
      <c r="Q42"/>
      <c r="AJ42" s="1"/>
      <c r="AK42" s="1"/>
      <c r="AL42" s="1"/>
      <c r="AM42" s="1"/>
      <c r="AN42" s="1"/>
      <c r="AO42" s="1"/>
      <c r="AP42" s="1"/>
      <c r="AQ42" s="1"/>
      <c r="AR42" s="1"/>
    </row>
    <row r="43" spans="6:44" ht="16.5" customHeight="1" x14ac:dyDescent="0.2">
      <c r="F43"/>
      <c r="I43"/>
      <c r="J43"/>
      <c r="K43"/>
      <c r="L43"/>
      <c r="M43"/>
      <c r="N43"/>
      <c r="P43"/>
      <c r="Q43"/>
      <c r="AJ43" s="1"/>
      <c r="AK43" s="1"/>
      <c r="AL43" s="1"/>
      <c r="AM43" s="1"/>
      <c r="AN43" s="1"/>
      <c r="AO43" s="1"/>
      <c r="AP43" s="1"/>
      <c r="AQ43" s="1"/>
      <c r="AR43" s="1"/>
    </row>
    <row r="44" spans="6:44" ht="16.5" customHeight="1" x14ac:dyDescent="0.2">
      <c r="F44"/>
      <c r="I44"/>
      <c r="J44"/>
      <c r="K44"/>
      <c r="L44"/>
      <c r="M44"/>
      <c r="N44"/>
      <c r="P44"/>
      <c r="Q44"/>
      <c r="AJ44" s="1"/>
      <c r="AK44" s="1"/>
      <c r="AL44" s="1"/>
      <c r="AM44" s="1"/>
      <c r="AN44" s="1"/>
      <c r="AO44" s="1"/>
      <c r="AP44" s="1"/>
      <c r="AQ44" s="1"/>
      <c r="AR44" s="1"/>
    </row>
    <row r="45" spans="6:44" ht="16.5" customHeight="1" x14ac:dyDescent="0.2">
      <c r="F45"/>
      <c r="I45"/>
      <c r="J45"/>
      <c r="K45"/>
      <c r="L45"/>
      <c r="M45"/>
      <c r="N45"/>
      <c r="P45"/>
      <c r="Q45"/>
      <c r="AJ45" s="1"/>
      <c r="AK45" s="1"/>
      <c r="AL45" s="1"/>
      <c r="AM45" s="1"/>
      <c r="AN45" s="1"/>
      <c r="AO45" s="1"/>
      <c r="AP45" s="1"/>
      <c r="AQ45" s="1"/>
      <c r="AR45" s="1"/>
    </row>
    <row r="46" spans="6:44" ht="16.5" customHeight="1" x14ac:dyDescent="0.2">
      <c r="F46"/>
      <c r="I46"/>
      <c r="J46"/>
      <c r="K46"/>
      <c r="L46"/>
      <c r="M46"/>
      <c r="N46"/>
      <c r="P46"/>
      <c r="Q46"/>
      <c r="AJ46" s="1"/>
      <c r="AK46" s="1"/>
      <c r="AL46" s="1"/>
      <c r="AM46" s="1"/>
      <c r="AN46" s="1"/>
      <c r="AO46" s="1"/>
      <c r="AP46" s="1"/>
      <c r="AQ46" s="1"/>
      <c r="AR46" s="1"/>
    </row>
    <row r="47" spans="6:44" ht="16.5" customHeight="1" x14ac:dyDescent="0.2">
      <c r="F47"/>
      <c r="I47"/>
      <c r="J47"/>
      <c r="K47"/>
      <c r="L47"/>
      <c r="M47"/>
      <c r="N47"/>
      <c r="P47"/>
      <c r="Q47"/>
      <c r="AJ47" s="1"/>
      <c r="AK47" s="1"/>
      <c r="AL47" s="1"/>
      <c r="AM47" s="1"/>
      <c r="AN47" s="1"/>
      <c r="AO47" s="1"/>
      <c r="AP47" s="1"/>
      <c r="AQ47" s="1"/>
      <c r="AR47" s="1"/>
    </row>
    <row r="48" spans="6:44" ht="16.5" customHeight="1" x14ac:dyDescent="0.2">
      <c r="F48"/>
      <c r="I48"/>
      <c r="J48"/>
      <c r="K48"/>
      <c r="L48"/>
      <c r="M48"/>
      <c r="N48"/>
      <c r="P48"/>
      <c r="Q48"/>
      <c r="AJ48" s="1"/>
      <c r="AK48" s="1"/>
      <c r="AL48" s="1"/>
      <c r="AM48" s="1"/>
      <c r="AN48" s="1"/>
      <c r="AO48" s="1"/>
      <c r="AP48" s="1"/>
      <c r="AQ48" s="1"/>
      <c r="AR48" s="1"/>
    </row>
    <row r="49" spans="6:44" ht="16.5" customHeight="1" x14ac:dyDescent="0.2">
      <c r="F49"/>
      <c r="I49"/>
      <c r="J49"/>
      <c r="K49"/>
      <c r="L49"/>
      <c r="M49"/>
      <c r="N49"/>
      <c r="P49"/>
      <c r="Q49"/>
      <c r="AJ49" s="1"/>
      <c r="AK49" s="1"/>
      <c r="AL49" s="1"/>
      <c r="AM49" s="1"/>
      <c r="AN49" s="1"/>
      <c r="AO49" s="1"/>
      <c r="AP49" s="1"/>
      <c r="AQ49" s="1"/>
      <c r="AR49" s="1"/>
    </row>
  </sheetData>
  <mergeCells count="6">
    <mergeCell ref="R9:R10"/>
    <mergeCell ref="E7:E15"/>
    <mergeCell ref="O7:Q8"/>
    <mergeCell ref="O9:O10"/>
    <mergeCell ref="P9:P10"/>
    <mergeCell ref="Q9:Q10"/>
  </mergeCells>
  <conditionalFormatting sqref="F9:K9">
    <cfRule type="expression" dxfId="27" priority="3" stopIfTrue="1">
      <formula>DAY(F9)&gt;8</formula>
    </cfRule>
  </conditionalFormatting>
  <conditionalFormatting sqref="F13:L15">
    <cfRule type="expression" dxfId="26" priority="2" stopIfTrue="1">
      <formula>AND(DAY(F13)&gt;=1,DAY(F13)&lt;=15)</formula>
    </cfRule>
  </conditionalFormatting>
  <conditionalFormatting sqref="F9:L14">
    <cfRule type="expression" dxfId="25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37"/>
  <sheetViews>
    <sheetView showGridLines="0" zoomScaleNormal="100" zoomScalePageLayoutView="84" workbookViewId="0">
      <selection activeCell="V12" sqref="V12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8.85546875" customWidth="1"/>
    <col min="16" max="16" width="30.85546875" style="1" customWidth="1"/>
    <col min="17" max="17" width="13.42578125" style="1" customWidth="1"/>
    <col min="18" max="18" width="19" customWidth="1"/>
    <col min="19" max="25" width="8.85546875" customWidth="1"/>
    <col min="45" max="16384" width="8.7109375" style="1"/>
  </cols>
  <sheetData>
    <row r="2" spans="4:18" ht="16.5" customHeight="1" x14ac:dyDescent="0.2">
      <c r="O2" s="40" t="s">
        <v>41</v>
      </c>
    </row>
    <row r="3" spans="4:18" ht="16.5" customHeight="1" x14ac:dyDescent="0.2">
      <c r="O3" s="40" t="s">
        <v>40</v>
      </c>
    </row>
    <row r="5" spans="4:18" ht="11.25" customHeight="1" x14ac:dyDescent="0.2"/>
    <row r="6" spans="4:18" ht="18" customHeight="1" x14ac:dyDescent="0.2">
      <c r="D6" s="4"/>
      <c r="E6" s="89" t="s">
        <v>31</v>
      </c>
      <c r="F6" s="11"/>
      <c r="G6" s="11"/>
      <c r="H6" s="11"/>
      <c r="I6" s="11"/>
      <c r="J6" s="11"/>
      <c r="K6" s="11"/>
      <c r="L6" s="11"/>
      <c r="M6" s="12"/>
      <c r="O6" s="125" t="s">
        <v>42</v>
      </c>
      <c r="P6" s="126"/>
      <c r="Q6" s="126"/>
      <c r="R6" s="18">
        <v>2022</v>
      </c>
    </row>
    <row r="7" spans="4:18" ht="21" customHeight="1" x14ac:dyDescent="0.2">
      <c r="D7" s="4"/>
      <c r="E7" s="90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27"/>
      <c r="P7" s="128"/>
      <c r="Q7" s="128"/>
      <c r="R7" s="39"/>
    </row>
    <row r="8" spans="4:18" ht="18" customHeight="1" x14ac:dyDescent="0.2">
      <c r="D8" s="4"/>
      <c r="E8" s="90"/>
      <c r="F8" s="10">
        <f>IF(DAY(MayDom1)=1,MayDom1-6,MayDom1+1)</f>
        <v>44676</v>
      </c>
      <c r="G8" s="45">
        <f>IF(DAY(MayDom1)=1,MayDom1-5,MayDom1+2)</f>
        <v>44677</v>
      </c>
      <c r="H8" s="45">
        <f>IF(DAY(MayDom1)=1,MayDom1-4,MayDom1+3)</f>
        <v>44678</v>
      </c>
      <c r="I8" s="45">
        <f>IF(DAY(MayDom1)=1,MayDom1-3,MayDom1+4)</f>
        <v>44679</v>
      </c>
      <c r="J8" s="45">
        <f>IF(DAY(MayDom1)=1,MayDom1-2,MayDom1+5)</f>
        <v>44680</v>
      </c>
      <c r="K8" s="10">
        <f>IF(DAY(MayDom1)=1,MayDom1-1,MayDom1+6)</f>
        <v>44681</v>
      </c>
      <c r="L8" s="10">
        <f>IF(DAY(MayDom1)=1,MayDom1,MayDom1+7)</f>
        <v>44682</v>
      </c>
      <c r="M8" s="5"/>
      <c r="O8" s="129" t="s">
        <v>36</v>
      </c>
      <c r="P8" s="129" t="s">
        <v>37</v>
      </c>
      <c r="Q8" s="129" t="s">
        <v>38</v>
      </c>
      <c r="R8" s="129" t="s">
        <v>39</v>
      </c>
    </row>
    <row r="9" spans="4:18" ht="18" customHeight="1" x14ac:dyDescent="0.2">
      <c r="D9" s="4"/>
      <c r="E9" s="90"/>
      <c r="F9" s="10">
        <f>IF(DAY(MayDom1)=1,MayDom1+1,MayDom1+8)</f>
        <v>44683</v>
      </c>
      <c r="G9" s="45">
        <f>IF(DAY(MayDom1)=1,MayDom1+2,MayDom1+9)</f>
        <v>44684</v>
      </c>
      <c r="H9" s="45">
        <f>IF(DAY(MayDom1)=1,MayDom1+3,MayDom1+10)</f>
        <v>44685</v>
      </c>
      <c r="I9" s="45">
        <f>IF(DAY(MayDom1)=1,MayDom1+4,MayDom1+11)</f>
        <v>44686</v>
      </c>
      <c r="J9" s="45">
        <f>IF(DAY(MayDom1)=1,MayDom1+5,MayDom1+12)</f>
        <v>44687</v>
      </c>
      <c r="K9" s="10">
        <f>IF(DAY(MayDom1)=1,MayDom1+6,MayDom1+13)</f>
        <v>44688</v>
      </c>
      <c r="L9" s="10">
        <f>IF(DAY(MayDom1)=1,MayDom1+7,MayDom1+14)</f>
        <v>44689</v>
      </c>
      <c r="M9" s="5"/>
      <c r="O9" s="130"/>
      <c r="P9" s="130"/>
      <c r="Q9" s="130"/>
      <c r="R9" s="130"/>
    </row>
    <row r="10" spans="4:18" ht="24.75" customHeight="1" x14ac:dyDescent="0.2">
      <c r="D10" s="4"/>
      <c r="E10" s="90"/>
      <c r="F10" s="10">
        <f>IF(DAY(MayDom1)=1,MayDom1+8,MayDom1+15)</f>
        <v>44690</v>
      </c>
      <c r="G10" s="45">
        <f>IF(DAY(MayDom1)=1,MayDom1+9,MayDom1+16)</f>
        <v>44691</v>
      </c>
      <c r="H10" s="45">
        <f>IF(DAY(MayDom1)=1,MayDom1+10,MayDom1+17)</f>
        <v>44692</v>
      </c>
      <c r="I10" s="45">
        <f>IF(DAY(MayDom1)=1,MayDom1+11,MayDom1+18)</f>
        <v>44693</v>
      </c>
      <c r="J10" s="45">
        <f>IF(DAY(MayDom1)=1,MayDom1+12,MayDom1+19)</f>
        <v>44694</v>
      </c>
      <c r="K10" s="10">
        <f>IF(DAY(MayDom1)=1,MayDom1+13,MayDom1+20)</f>
        <v>44695</v>
      </c>
      <c r="L10" s="10">
        <f>IF(DAY(MayDom1)=1,MayDom1+14,MayDom1+21)</f>
        <v>44696</v>
      </c>
      <c r="M10" s="5"/>
      <c r="O10" s="33"/>
      <c r="P10" s="50"/>
      <c r="Q10" s="34"/>
      <c r="R10" s="34"/>
    </row>
    <row r="11" spans="4:18" ht="22.5" customHeight="1" x14ac:dyDescent="0.2">
      <c r="D11" s="4"/>
      <c r="E11" s="90"/>
      <c r="F11" s="10">
        <f>IF(DAY(MayDom1)=1,MayDom1+15,MayDom1+22)</f>
        <v>44697</v>
      </c>
      <c r="G11" s="45">
        <f>IF(DAY(MayDom1)=1,MayDom1+16,MayDom1+23)</f>
        <v>44698</v>
      </c>
      <c r="H11" s="45">
        <f>IF(DAY(MayDom1)=1,MayDom1+17,MayDom1+24)</f>
        <v>44699</v>
      </c>
      <c r="I11" s="45">
        <f>IF(DAY(MayDom1)=1,MayDom1+18,MayDom1+25)</f>
        <v>44700</v>
      </c>
      <c r="J11" s="45">
        <f>IF(DAY(MayDom1)=1,MayDom1+19,MayDom1+26)</f>
        <v>44701</v>
      </c>
      <c r="K11" s="10">
        <f>IF(DAY(MayDom1)=1,MayDom1+20,MayDom1+27)</f>
        <v>44702</v>
      </c>
      <c r="L11" s="10">
        <f>IF(DAY(MayDom1)=1,MayDom1+21,MayDom1+28)</f>
        <v>44703</v>
      </c>
      <c r="M11" s="5"/>
      <c r="O11" s="35"/>
      <c r="P11" s="51"/>
      <c r="Q11" s="36"/>
      <c r="R11" s="36"/>
    </row>
    <row r="12" spans="4:18" ht="24" customHeight="1" x14ac:dyDescent="0.2">
      <c r="D12" s="4"/>
      <c r="E12" s="90"/>
      <c r="F12" s="10">
        <f>IF(DAY(MayDom1)=1,MayDom1+22,MayDom1+29)</f>
        <v>44704</v>
      </c>
      <c r="G12" s="45">
        <f>IF(DAY(MayDom1)=1,MayDom1+23,MayDom1+30)</f>
        <v>44705</v>
      </c>
      <c r="H12" s="45">
        <f>IF(DAY(MayDom1)=1,MayDom1+24,MayDom1+31)</f>
        <v>44706</v>
      </c>
      <c r="I12" s="45">
        <f>IF(DAY(MayDom1)=1,MayDom1+25,MayDom1+32)</f>
        <v>44707</v>
      </c>
      <c r="J12" s="45">
        <f>IF(DAY(MayDom1)=1,MayDom1+26,MayDom1+33)</f>
        <v>44708</v>
      </c>
      <c r="K12" s="10">
        <f>IF(DAY(MayDom1)=1,MayDom1+27,MayDom1+34)</f>
        <v>44709</v>
      </c>
      <c r="L12" s="10">
        <f>IF(DAY(MayDom1)=1,MayDom1+28,MayDom1+35)</f>
        <v>44710</v>
      </c>
      <c r="M12" s="5"/>
      <c r="O12" s="33"/>
      <c r="P12" s="50"/>
      <c r="Q12" s="34"/>
      <c r="R12" s="34"/>
    </row>
    <row r="13" spans="4:18" ht="18" customHeight="1" x14ac:dyDescent="0.2">
      <c r="D13" s="4"/>
      <c r="E13" s="90"/>
      <c r="F13" s="10">
        <f>IF(DAY(MayDom1)=1,MayDom1+29,MayDom1+36)</f>
        <v>44711</v>
      </c>
      <c r="G13" s="10">
        <f>IF(DAY(MayDom1)=1,MayDom1+30,MayDom1+37)</f>
        <v>44712</v>
      </c>
      <c r="H13" s="10">
        <f>IF(DAY(MayDom1)=1,MayDom1+31,MayDom1+38)</f>
        <v>44713</v>
      </c>
      <c r="I13" s="10">
        <f>IF(DAY(MayDom1)=1,MayDom1+32,MayDom1+39)</f>
        <v>44714</v>
      </c>
      <c r="J13" s="10">
        <f>IF(DAY(MayDom1)=1,MayDom1+33,MayDom1+40)</f>
        <v>44715</v>
      </c>
      <c r="K13" s="10">
        <f>IF(DAY(MayDom1)=1,MayDom1+34,MayDom1+41)</f>
        <v>44716</v>
      </c>
      <c r="L13" s="10">
        <f>IF(DAY(MayDom1)=1,MayDom1+35,MayDom1+42)</f>
        <v>44717</v>
      </c>
      <c r="M13" s="5"/>
      <c r="O13" s="35"/>
      <c r="P13" s="36"/>
      <c r="Q13" s="37"/>
      <c r="R13" s="36"/>
    </row>
    <row r="14" spans="4:18" ht="18" customHeight="1" x14ac:dyDescent="0.2">
      <c r="D14" s="4"/>
      <c r="E14" s="91"/>
      <c r="F14" s="13"/>
      <c r="G14" s="13"/>
      <c r="H14" s="13"/>
      <c r="I14" s="13"/>
      <c r="J14" s="13"/>
      <c r="K14" s="13"/>
      <c r="L14" s="13"/>
      <c r="M14" s="14"/>
      <c r="O14" s="33"/>
      <c r="P14" s="34"/>
      <c r="Q14" s="38"/>
      <c r="R14" s="34"/>
    </row>
    <row r="15" spans="4:18" ht="18" customHeight="1" x14ac:dyDescent="0.2">
      <c r="D15" s="4"/>
      <c r="O15" s="35"/>
      <c r="P15" s="36"/>
      <c r="Q15" s="36"/>
      <c r="R15" s="36"/>
    </row>
    <row r="16" spans="4:18" ht="18" customHeight="1" x14ac:dyDescent="0.2">
      <c r="D16" s="4"/>
      <c r="O16" s="33"/>
      <c r="P16" s="34"/>
      <c r="Q16" s="34"/>
      <c r="R16" s="34"/>
    </row>
    <row r="17" spans="15:18" ht="18" customHeight="1" x14ac:dyDescent="0.2">
      <c r="O17" s="35"/>
      <c r="P17" s="36"/>
      <c r="Q17" s="37"/>
      <c r="R17" s="36"/>
    </row>
    <row r="18" spans="15:18" ht="18" customHeight="1" x14ac:dyDescent="0.2">
      <c r="O18" s="33"/>
      <c r="P18" s="34"/>
      <c r="Q18" s="34"/>
      <c r="R18" s="34"/>
    </row>
    <row r="19" spans="15:18" ht="18" customHeight="1" x14ac:dyDescent="0.2">
      <c r="O19" s="35"/>
      <c r="P19" s="36"/>
      <c r="Q19" s="36"/>
      <c r="R19" s="36"/>
    </row>
    <row r="20" spans="15:18" ht="18" customHeight="1" x14ac:dyDescent="0.2">
      <c r="O20" s="33"/>
      <c r="P20" s="34"/>
      <c r="Q20" s="38"/>
      <c r="R20" s="34"/>
    </row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4"/>
    <mergeCell ref="O6:Q7"/>
    <mergeCell ref="O8:O9"/>
    <mergeCell ref="P8:P9"/>
    <mergeCell ref="Q8:Q9"/>
  </mergeCells>
  <conditionalFormatting sqref="F8:K8">
    <cfRule type="expression" dxfId="24" priority="3" stopIfTrue="1">
      <formula>DAY(F8)&gt;8</formula>
    </cfRule>
  </conditionalFormatting>
  <conditionalFormatting sqref="F12:L14">
    <cfRule type="expression" dxfId="23" priority="2" stopIfTrue="1">
      <formula>AND(DAY(F12)&gt;=1,DAY(F12)&lt;=15)</formula>
    </cfRule>
  </conditionalFormatting>
  <conditionalFormatting sqref="F8:L13">
    <cfRule type="expression" dxfId="22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37"/>
  <sheetViews>
    <sheetView showGridLines="0" topLeftCell="B1" zoomScaleNormal="100" zoomScalePageLayoutView="84" workbookViewId="0">
      <selection activeCell="V8" sqref="V8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9" customWidth="1"/>
    <col min="16" max="16" width="40.28515625" style="1" customWidth="1"/>
    <col min="17" max="17" width="10.7109375" style="1" customWidth="1"/>
    <col min="18" max="18" width="22.140625" customWidth="1"/>
    <col min="19" max="25" width="8.85546875" customWidth="1"/>
    <col min="45" max="16384" width="8.7109375" style="1"/>
  </cols>
  <sheetData>
    <row r="2" spans="4:18" ht="16.5" customHeight="1" x14ac:dyDescent="0.2">
      <c r="O2" s="40" t="s">
        <v>41</v>
      </c>
    </row>
    <row r="3" spans="4:18" ht="16.5" customHeight="1" x14ac:dyDescent="0.2">
      <c r="O3" s="40" t="s">
        <v>43</v>
      </c>
    </row>
    <row r="5" spans="4:18" ht="11.25" customHeight="1" x14ac:dyDescent="0.2"/>
    <row r="6" spans="4:18" ht="18" customHeight="1" x14ac:dyDescent="0.2">
      <c r="D6" s="4"/>
      <c r="E6" s="89" t="s">
        <v>30</v>
      </c>
      <c r="F6" s="11"/>
      <c r="G6" s="11"/>
      <c r="H6" s="11"/>
      <c r="I6" s="11"/>
      <c r="J6" s="11"/>
      <c r="K6" s="11"/>
      <c r="L6" s="11"/>
      <c r="M6" s="12"/>
      <c r="O6" s="125" t="s">
        <v>42</v>
      </c>
      <c r="P6" s="126"/>
      <c r="Q6" s="126"/>
      <c r="R6" s="18">
        <v>2022</v>
      </c>
    </row>
    <row r="7" spans="4:18" ht="21" customHeight="1" x14ac:dyDescent="0.2">
      <c r="D7" s="4"/>
      <c r="E7" s="90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27"/>
      <c r="P7" s="128"/>
      <c r="Q7" s="128"/>
      <c r="R7" s="39"/>
    </row>
    <row r="8" spans="4:18" ht="19.5" customHeight="1" x14ac:dyDescent="0.2">
      <c r="D8" s="4"/>
      <c r="E8" s="90"/>
      <c r="F8" s="10">
        <f>IF(DAY(JunDom1)=1,JunDom1-6,JunDom1+1)</f>
        <v>44711</v>
      </c>
      <c r="G8" s="10">
        <f>IF(DAY(JunDom1)=1,JunDom1-5,JunDom1+2)</f>
        <v>44712</v>
      </c>
      <c r="H8" s="10">
        <f>IF(DAY(JunDom1)=1,JunDom1-4,JunDom1+3)</f>
        <v>44713</v>
      </c>
      <c r="I8" s="10">
        <f>IF(DAY(JunDom1)=1,JunDom1-3,JunDom1+4)</f>
        <v>44714</v>
      </c>
      <c r="J8" s="10">
        <f>IF(DAY(JunDom1)=1,JunDom1-2,JunDom1+5)</f>
        <v>44715</v>
      </c>
      <c r="K8" s="10">
        <f>IF(DAY(JunDom1)=1,JunDom1-1,JunDom1+6)</f>
        <v>44716</v>
      </c>
      <c r="L8" s="10">
        <f>IF(DAY(JunDom1)=1,JunDom1,JunDom1+7)</f>
        <v>44717</v>
      </c>
      <c r="M8" s="5"/>
      <c r="O8" s="129" t="s">
        <v>36</v>
      </c>
      <c r="P8" s="129" t="s">
        <v>37</v>
      </c>
      <c r="Q8" s="129" t="s">
        <v>38</v>
      </c>
      <c r="R8" s="129" t="s">
        <v>39</v>
      </c>
    </row>
    <row r="9" spans="4:18" ht="18" customHeight="1" x14ac:dyDescent="0.2">
      <c r="D9" s="4"/>
      <c r="E9" s="90"/>
      <c r="F9" s="45">
        <f>IF(DAY(JunDom1)=1,JunDom1+1,JunDom1+8)</f>
        <v>44718</v>
      </c>
      <c r="G9" s="45">
        <f>IF(DAY(JunDom1)=1,JunDom1+2,JunDom1+9)</f>
        <v>44719</v>
      </c>
      <c r="H9" s="45">
        <f>IF(DAY(JunDom1)=1,JunDom1+3,JunDom1+10)</f>
        <v>44720</v>
      </c>
      <c r="I9" s="45">
        <f>IF(DAY(JunDom1)=1,JunDom1+4,JunDom1+11)</f>
        <v>44721</v>
      </c>
      <c r="J9" s="45">
        <f>IF(DAY(JunDom1)=1,JunDom1+5,JunDom1+12)</f>
        <v>44722</v>
      </c>
      <c r="K9" s="10">
        <f>IF(DAY(JunDom1)=1,JunDom1+6,JunDom1+13)</f>
        <v>44723</v>
      </c>
      <c r="L9" s="10">
        <f>IF(DAY(JunDom1)=1,JunDom1+7,JunDom1+14)</f>
        <v>44724</v>
      </c>
      <c r="M9" s="5"/>
      <c r="O9" s="130"/>
      <c r="P9" s="130"/>
      <c r="Q9" s="130"/>
      <c r="R9" s="130"/>
    </row>
    <row r="10" spans="4:18" ht="45" customHeight="1" x14ac:dyDescent="0.2">
      <c r="D10" s="4"/>
      <c r="E10" s="90"/>
      <c r="F10" s="45">
        <f>IF(DAY(JunDom1)=1,JunDom1+8,JunDom1+15)</f>
        <v>44725</v>
      </c>
      <c r="G10" s="45">
        <f>IF(DAY(JunDom1)=1,JunDom1+9,JunDom1+16)</f>
        <v>44726</v>
      </c>
      <c r="H10" s="45">
        <f>IF(DAY(JunDom1)=1,JunDom1+10,JunDom1+17)</f>
        <v>44727</v>
      </c>
      <c r="I10" s="45">
        <f>IF(DAY(JunDom1)=1,JunDom1+11,JunDom1+18)</f>
        <v>44728</v>
      </c>
      <c r="J10" s="45">
        <f>IF(DAY(JunDom1)=1,JunDom1+12,JunDom1+19)</f>
        <v>44729</v>
      </c>
      <c r="K10" s="10">
        <f>IF(DAY(JunDom1)=1,JunDom1+13,JunDom1+20)</f>
        <v>44730</v>
      </c>
      <c r="L10" s="10">
        <f>IF(DAY(JunDom1)=1,JunDom1+14,JunDom1+21)</f>
        <v>44731</v>
      </c>
      <c r="M10" s="5"/>
      <c r="O10" s="33"/>
      <c r="P10" s="34"/>
      <c r="Q10" s="38"/>
      <c r="R10" s="34"/>
    </row>
    <row r="11" spans="4:18" ht="24.75" customHeight="1" x14ac:dyDescent="0.2">
      <c r="D11" s="4"/>
      <c r="E11" s="90"/>
      <c r="F11" s="45">
        <f>IF(DAY(JunDom1)=1,JunDom1+15,JunDom1+22)</f>
        <v>44732</v>
      </c>
      <c r="G11" s="45">
        <f>IF(DAY(JunDom1)=1,JunDom1+16,JunDom1+23)</f>
        <v>44733</v>
      </c>
      <c r="H11" s="45">
        <f>IF(DAY(JunDom1)=1,JunDom1+17,JunDom1+24)</f>
        <v>44734</v>
      </c>
      <c r="I11" s="45">
        <f>IF(DAY(JunDom1)=1,JunDom1+18,JunDom1+25)</f>
        <v>44735</v>
      </c>
      <c r="J11" s="45">
        <f>IF(DAY(JunDom1)=1,JunDom1+19,JunDom1+26)</f>
        <v>44736</v>
      </c>
      <c r="K11" s="10">
        <f>IF(DAY(JunDom1)=1,JunDom1+20,JunDom1+27)</f>
        <v>44737</v>
      </c>
      <c r="L11" s="10">
        <f>IF(DAY(JunDom1)=1,JunDom1+21,JunDom1+28)</f>
        <v>44738</v>
      </c>
      <c r="M11" s="5"/>
      <c r="O11" s="35"/>
      <c r="P11" s="36"/>
      <c r="Q11" s="37"/>
      <c r="R11" s="36"/>
    </row>
    <row r="12" spans="4:18" ht="25.5" customHeight="1" x14ac:dyDescent="0.2">
      <c r="D12" s="4"/>
      <c r="E12" s="90"/>
      <c r="F12" s="45">
        <f>IF(DAY(JunDom1)=1,JunDom1+22,JunDom1+29)</f>
        <v>44739</v>
      </c>
      <c r="G12" s="45">
        <f>IF(DAY(JunDom1)=1,JunDom1+23,JunDom1+30)</f>
        <v>44740</v>
      </c>
      <c r="H12" s="45">
        <f>IF(DAY(JunDom1)=1,JunDom1+24,JunDom1+31)</f>
        <v>44741</v>
      </c>
      <c r="I12" s="45">
        <f>IF(DAY(JunDom1)=1,JunDom1+25,JunDom1+32)</f>
        <v>44742</v>
      </c>
      <c r="J12" s="45">
        <f>IF(DAY(JunDom1)=1,JunDom1+26,JunDom1+33)</f>
        <v>44743</v>
      </c>
      <c r="K12" s="10">
        <f>IF(DAY(JunDom1)=1,JunDom1+27,JunDom1+34)</f>
        <v>44744</v>
      </c>
      <c r="L12" s="10">
        <f>IF(DAY(JunDom1)=1,JunDom1+28,JunDom1+35)</f>
        <v>44745</v>
      </c>
      <c r="M12" s="5"/>
      <c r="O12" s="33"/>
      <c r="P12" s="34"/>
      <c r="Q12" s="38"/>
      <c r="R12" s="34"/>
    </row>
    <row r="13" spans="4:18" ht="24" customHeight="1" x14ac:dyDescent="0.2">
      <c r="D13" s="4"/>
      <c r="E13" s="90"/>
      <c r="F13" s="10">
        <f>IF(DAY(JunDom1)=1,JunDom1+29,JunDom1+36)</f>
        <v>44746</v>
      </c>
      <c r="G13" s="10">
        <f>IF(DAY(JunDom1)=1,JunDom1+30,JunDom1+37)</f>
        <v>44747</v>
      </c>
      <c r="H13" s="10">
        <f>IF(DAY(JunDom1)=1,JunDom1+31,JunDom1+38)</f>
        <v>44748</v>
      </c>
      <c r="I13" s="10">
        <f>IF(DAY(JunDom1)=1,JunDom1+32,JunDom1+39)</f>
        <v>44749</v>
      </c>
      <c r="J13" s="10">
        <f>IF(DAY(JunDom1)=1,JunDom1+33,JunDom1+40)</f>
        <v>44750</v>
      </c>
      <c r="K13" s="10">
        <f>IF(DAY(JunDom1)=1,JunDom1+34,JunDom1+41)</f>
        <v>44751</v>
      </c>
      <c r="L13" s="10">
        <f>IF(DAY(JunDom1)=1,JunDom1+35,JunDom1+42)</f>
        <v>44752</v>
      </c>
      <c r="M13" s="5"/>
      <c r="O13" s="35"/>
      <c r="P13" s="36"/>
      <c r="Q13" s="37"/>
      <c r="R13" s="36"/>
    </row>
    <row r="14" spans="4:18" ht="18" customHeight="1" x14ac:dyDescent="0.2">
      <c r="D14" s="4"/>
      <c r="E14" s="91"/>
      <c r="F14" s="13"/>
      <c r="G14" s="13"/>
      <c r="H14" s="13"/>
      <c r="I14" s="13"/>
      <c r="J14" s="13"/>
      <c r="K14" s="13"/>
      <c r="L14" s="13"/>
      <c r="M14" s="14"/>
      <c r="O14" s="33"/>
      <c r="P14" s="34"/>
      <c r="Q14" s="38"/>
      <c r="R14" s="34"/>
    </row>
    <row r="15" spans="4:18" ht="24" customHeight="1" x14ac:dyDescent="0.2">
      <c r="D15" s="4"/>
      <c r="O15" s="35"/>
      <c r="P15" s="36"/>
      <c r="Q15" s="37"/>
      <c r="R15" s="36"/>
    </row>
    <row r="16" spans="4:18" ht="42.75" customHeight="1" x14ac:dyDescent="0.2">
      <c r="D16" s="4"/>
      <c r="O16" s="33"/>
      <c r="P16" s="34"/>
      <c r="Q16" s="38"/>
      <c r="R16" s="34"/>
    </row>
    <row r="17" spans="15:18" ht="18" customHeight="1" x14ac:dyDescent="0.2">
      <c r="O17" s="35"/>
      <c r="P17" s="36"/>
      <c r="Q17" s="37"/>
      <c r="R17" s="36"/>
    </row>
    <row r="18" spans="15:18" ht="23.25" customHeight="1" x14ac:dyDescent="0.2">
      <c r="O18" s="33"/>
      <c r="P18" s="34"/>
      <c r="Q18" s="38"/>
      <c r="R18" s="34"/>
    </row>
    <row r="19" spans="15:18" ht="18" customHeight="1" x14ac:dyDescent="0.2">
      <c r="O19" s="35"/>
      <c r="P19" s="36"/>
      <c r="Q19" s="36"/>
      <c r="R19" s="36"/>
    </row>
    <row r="20" spans="15:18" ht="18" customHeight="1" x14ac:dyDescent="0.2">
      <c r="O20" s="33"/>
      <c r="P20" s="34"/>
      <c r="Q20" s="38"/>
      <c r="R20" s="34"/>
    </row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4"/>
    <mergeCell ref="O6:Q7"/>
    <mergeCell ref="O8:O9"/>
    <mergeCell ref="P8:P9"/>
    <mergeCell ref="Q8:Q9"/>
  </mergeCells>
  <conditionalFormatting sqref="F8:K8">
    <cfRule type="expression" dxfId="21" priority="3" stopIfTrue="1">
      <formula>DAY(F8)&gt;8</formula>
    </cfRule>
  </conditionalFormatting>
  <conditionalFormatting sqref="F12:L14">
    <cfRule type="expression" dxfId="20" priority="2" stopIfTrue="1">
      <formula>AND(DAY(F12)&gt;=1,DAY(F12)&lt;=15)</formula>
    </cfRule>
  </conditionalFormatting>
  <conditionalFormatting sqref="F8:L13">
    <cfRule type="expression" dxfId="19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C2:AQ37"/>
  <sheetViews>
    <sheetView showGridLines="0" zoomScaleNormal="100" zoomScalePageLayoutView="84" workbookViewId="0">
      <selection activeCell="O23" sqref="O23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9" customWidth="1"/>
    <col min="15" max="15" width="47.28515625" style="1" customWidth="1"/>
    <col min="16" max="16" width="10.7109375" style="1" customWidth="1"/>
    <col min="17" max="17" width="13.5703125" customWidth="1"/>
    <col min="18" max="24" width="8.85546875" customWidth="1"/>
    <col min="44" max="16384" width="8.7109375" style="1"/>
  </cols>
  <sheetData>
    <row r="2" spans="3:17" ht="16.5" customHeight="1" x14ac:dyDescent="0.2">
      <c r="N2" s="40" t="s">
        <v>41</v>
      </c>
    </row>
    <row r="3" spans="3:17" ht="16.5" customHeight="1" x14ac:dyDescent="0.2">
      <c r="N3" s="40" t="s">
        <v>40</v>
      </c>
    </row>
    <row r="5" spans="3:17" ht="11.25" customHeight="1" x14ac:dyDescent="0.2"/>
    <row r="6" spans="3:17" ht="18" customHeight="1" x14ac:dyDescent="0.2">
      <c r="C6" s="4"/>
      <c r="D6" s="89" t="s">
        <v>29</v>
      </c>
      <c r="E6" s="11"/>
      <c r="F6" s="11"/>
      <c r="G6" s="11"/>
      <c r="H6" s="11"/>
      <c r="I6" s="11"/>
      <c r="J6" s="11"/>
      <c r="K6" s="11"/>
      <c r="L6" s="12"/>
      <c r="N6" s="125" t="s">
        <v>42</v>
      </c>
      <c r="O6" s="126"/>
      <c r="P6" s="126"/>
      <c r="Q6" s="18">
        <v>2022</v>
      </c>
    </row>
    <row r="7" spans="3:17" ht="21" customHeight="1" x14ac:dyDescent="0.2">
      <c r="C7" s="4"/>
      <c r="D7" s="90"/>
      <c r="E7" s="2" t="s">
        <v>8</v>
      </c>
      <c r="F7" s="2" t="s">
        <v>1</v>
      </c>
      <c r="G7" s="2" t="s">
        <v>9</v>
      </c>
      <c r="H7" s="2" t="s">
        <v>10</v>
      </c>
      <c r="I7" s="2" t="s">
        <v>11</v>
      </c>
      <c r="J7" s="2" t="s">
        <v>0</v>
      </c>
      <c r="K7" s="2" t="s">
        <v>12</v>
      </c>
      <c r="L7" s="5"/>
      <c r="N7" s="127"/>
      <c r="O7" s="128"/>
      <c r="P7" s="128"/>
      <c r="Q7" s="39"/>
    </row>
    <row r="8" spans="3:17" ht="18" customHeight="1" x14ac:dyDescent="0.2">
      <c r="C8" s="4"/>
      <c r="D8" s="90"/>
      <c r="E8" s="45">
        <f>IF(DAY(JulDom1)=1,JulDom1-6,JulDom1+1)</f>
        <v>44739</v>
      </c>
      <c r="F8" s="45">
        <f>IF(DAY(JulDom1)=1,JulDom1-5,JulDom1+2)</f>
        <v>44740</v>
      </c>
      <c r="G8" s="45">
        <f>IF(DAY(JulDom1)=1,JulDom1-4,JulDom1+3)</f>
        <v>44741</v>
      </c>
      <c r="H8" s="45">
        <f>IF(DAY(JulDom1)=1,JulDom1-3,JulDom1+4)</f>
        <v>44742</v>
      </c>
      <c r="I8" s="45">
        <f>IF(DAY(JulDom1)=1,JulDom1-2,JulDom1+5)</f>
        <v>44743</v>
      </c>
      <c r="J8" s="10">
        <f>IF(DAY(JulDom1)=1,JulDom1-1,JulDom1+6)</f>
        <v>44744</v>
      </c>
      <c r="K8" s="10">
        <f>IF(DAY(JulDom1)=1,JulDom1,JulDom1+7)</f>
        <v>44745</v>
      </c>
      <c r="L8" s="5"/>
      <c r="N8" s="129" t="s">
        <v>36</v>
      </c>
      <c r="O8" s="129" t="s">
        <v>37</v>
      </c>
      <c r="P8" s="129" t="s">
        <v>38</v>
      </c>
      <c r="Q8" s="129" t="s">
        <v>39</v>
      </c>
    </row>
    <row r="9" spans="3:17" ht="18" customHeight="1" x14ac:dyDescent="0.2">
      <c r="C9" s="4"/>
      <c r="D9" s="90"/>
      <c r="E9" s="45">
        <f>IF(DAY(JulDom1)=1,JulDom1+1,JulDom1+8)</f>
        <v>44746</v>
      </c>
      <c r="F9" s="45">
        <f>IF(DAY(JulDom1)=1,JulDom1+2,JulDom1+9)</f>
        <v>44747</v>
      </c>
      <c r="G9" s="45">
        <f>IF(DAY(JulDom1)=1,JulDom1+3,JulDom1+10)</f>
        <v>44748</v>
      </c>
      <c r="H9" s="45">
        <f>IF(DAY(JulDom1)=1,JulDom1+4,JulDom1+11)</f>
        <v>44749</v>
      </c>
      <c r="I9" s="45">
        <f>IF(DAY(JulDom1)=1,JulDom1+5,JulDom1+12)</f>
        <v>44750</v>
      </c>
      <c r="J9" s="10">
        <f>IF(DAY(JulDom1)=1,JulDom1+6,JulDom1+13)</f>
        <v>44751</v>
      </c>
      <c r="K9" s="10">
        <f>IF(DAY(JulDom1)=1,JulDom1+7,JulDom1+14)</f>
        <v>44752</v>
      </c>
      <c r="L9" s="5"/>
      <c r="N9" s="130"/>
      <c r="O9" s="130"/>
      <c r="P9" s="130"/>
      <c r="Q9" s="130"/>
    </row>
    <row r="10" spans="3:17" ht="24" customHeight="1" x14ac:dyDescent="0.2">
      <c r="C10" s="4"/>
      <c r="D10" s="90"/>
      <c r="E10" s="45">
        <f>IF(DAY(JulDom1)=1,JulDom1+8,JulDom1+15)</f>
        <v>44753</v>
      </c>
      <c r="F10" s="45">
        <f>IF(DAY(JulDom1)=1,JulDom1+9,JulDom1+16)</f>
        <v>44754</v>
      </c>
      <c r="G10" s="45">
        <f>IF(DAY(JulDom1)=1,JulDom1+10,JulDom1+17)</f>
        <v>44755</v>
      </c>
      <c r="H10" s="45">
        <f>IF(DAY(JulDom1)=1,JulDom1+11,JulDom1+18)</f>
        <v>44756</v>
      </c>
      <c r="I10" s="45">
        <f>IF(DAY(JulDom1)=1,JulDom1+12,JulDom1+19)</f>
        <v>44757</v>
      </c>
      <c r="J10" s="10">
        <f>IF(DAY(JulDom1)=1,JulDom1+13,JulDom1+20)</f>
        <v>44758</v>
      </c>
      <c r="K10" s="10">
        <f>IF(DAY(JulDom1)=1,JulDom1+14,JulDom1+21)</f>
        <v>44759</v>
      </c>
      <c r="L10" s="5"/>
      <c r="N10" s="52"/>
      <c r="O10" s="53"/>
      <c r="P10" s="54"/>
      <c r="Q10" s="33"/>
    </row>
    <row r="11" spans="3:17" ht="44.25" customHeight="1" x14ac:dyDescent="0.2">
      <c r="C11" s="4"/>
      <c r="D11" s="90"/>
      <c r="E11" s="45">
        <f>IF(DAY(JulDom1)=1,JulDom1+15,JulDom1+22)</f>
        <v>44760</v>
      </c>
      <c r="F11" s="45">
        <f>IF(DAY(JulDom1)=1,JulDom1+16,JulDom1+23)</f>
        <v>44761</v>
      </c>
      <c r="G11" s="45">
        <f>IF(DAY(JulDom1)=1,JulDom1+17,JulDom1+24)</f>
        <v>44762</v>
      </c>
      <c r="H11" s="45">
        <f>IF(DAY(JulDom1)=1,JulDom1+18,JulDom1+25)</f>
        <v>44763</v>
      </c>
      <c r="I11" s="45">
        <f>IF(DAY(JulDom1)=1,JulDom1+19,JulDom1+26)</f>
        <v>44764</v>
      </c>
      <c r="J11" s="10">
        <f>IF(DAY(JulDom1)=1,JulDom1+20,JulDom1+27)</f>
        <v>44765</v>
      </c>
      <c r="K11" s="10">
        <f>IF(DAY(JulDom1)=1,JulDom1+21,JulDom1+28)</f>
        <v>44766</v>
      </c>
      <c r="L11" s="5"/>
      <c r="N11" s="35"/>
      <c r="O11" s="36"/>
      <c r="P11" s="37"/>
      <c r="Q11" s="33"/>
    </row>
    <row r="12" spans="3:17" ht="18.75" customHeight="1" x14ac:dyDescent="0.2">
      <c r="C12" s="4"/>
      <c r="D12" s="90"/>
      <c r="E12" s="10">
        <f>IF(DAY(JulDom1)=1,JulDom1+22,JulDom1+29)</f>
        <v>44767</v>
      </c>
      <c r="F12" s="10">
        <f>IF(DAY(JulDom1)=1,JulDom1+23,JulDom1+30)</f>
        <v>44768</v>
      </c>
      <c r="G12" s="10">
        <f>IF(DAY(JulDom1)=1,JulDom1+24,JulDom1+31)</f>
        <v>44769</v>
      </c>
      <c r="H12" s="10">
        <f>IF(DAY(JulDom1)=1,JulDom1+25,JulDom1+32)</f>
        <v>44770</v>
      </c>
      <c r="I12" s="10">
        <f>IF(DAY(JulDom1)=1,JulDom1+26,JulDom1+33)</f>
        <v>44771</v>
      </c>
      <c r="J12" s="10">
        <f>IF(DAY(JulDom1)=1,JulDom1+27,JulDom1+34)</f>
        <v>44772</v>
      </c>
      <c r="K12" s="10">
        <f>IF(DAY(JulDom1)=1,JulDom1+28,JulDom1+35)</f>
        <v>44773</v>
      </c>
      <c r="L12" s="5"/>
      <c r="N12" s="33"/>
      <c r="O12" s="34"/>
      <c r="P12" s="38"/>
      <c r="Q12" s="34"/>
    </row>
    <row r="13" spans="3:17" ht="18" customHeight="1" x14ac:dyDescent="0.2">
      <c r="C13" s="4"/>
      <c r="D13" s="90"/>
      <c r="E13" s="10">
        <f>IF(DAY(JulDom1)=1,JulDom1+29,JulDom1+36)</f>
        <v>44774</v>
      </c>
      <c r="F13" s="10">
        <f>IF(DAY(JulDom1)=1,JulDom1+30,JulDom1+37)</f>
        <v>44775</v>
      </c>
      <c r="G13" s="10">
        <f>IF(DAY(JulDom1)=1,JulDom1+31,JulDom1+38)</f>
        <v>44776</v>
      </c>
      <c r="H13" s="10">
        <f>IF(DAY(JulDom1)=1,JulDom1+32,JulDom1+39)</f>
        <v>44777</v>
      </c>
      <c r="I13" s="10">
        <f>IF(DAY(JulDom1)=1,JulDom1+33,JulDom1+40)</f>
        <v>44778</v>
      </c>
      <c r="J13" s="10">
        <f>IF(DAY(JulDom1)=1,JulDom1+34,JulDom1+41)</f>
        <v>44779</v>
      </c>
      <c r="K13" s="10">
        <f>IF(DAY(JulDom1)=1,JulDom1+35,JulDom1+42)</f>
        <v>44780</v>
      </c>
      <c r="L13" s="5"/>
      <c r="N13" s="35"/>
      <c r="O13" s="36"/>
      <c r="P13" s="37"/>
      <c r="Q13" s="36"/>
    </row>
    <row r="14" spans="3:17" ht="18" customHeight="1" x14ac:dyDescent="0.2">
      <c r="C14" s="4"/>
      <c r="D14" s="91"/>
      <c r="E14" s="13"/>
      <c r="F14" s="13"/>
      <c r="G14" s="13"/>
      <c r="H14" s="13"/>
      <c r="I14" s="13"/>
      <c r="J14" s="13"/>
      <c r="K14" s="13"/>
      <c r="L14" s="14"/>
      <c r="N14" s="33"/>
      <c r="O14" s="34"/>
      <c r="P14" s="34"/>
      <c r="Q14" s="34"/>
    </row>
    <row r="15" spans="3:17" ht="18" customHeight="1" x14ac:dyDescent="0.2">
      <c r="C15" s="4"/>
      <c r="N15" s="35"/>
      <c r="O15" s="36"/>
      <c r="P15" s="36"/>
      <c r="Q15" s="36"/>
    </row>
    <row r="16" spans="3:17" ht="18" customHeight="1" x14ac:dyDescent="0.2">
      <c r="C16" s="4"/>
      <c r="N16" s="33"/>
      <c r="O16" s="34"/>
      <c r="P16" s="34"/>
      <c r="Q16" s="34"/>
    </row>
    <row r="17" spans="14:17" ht="18" customHeight="1" x14ac:dyDescent="0.2">
      <c r="N17" s="35"/>
      <c r="O17" s="36"/>
      <c r="P17" s="37"/>
      <c r="Q17" s="36"/>
    </row>
    <row r="18" spans="14:17" ht="18" customHeight="1" x14ac:dyDescent="0.2">
      <c r="N18" s="33"/>
      <c r="O18" s="34"/>
      <c r="P18" s="34"/>
      <c r="Q18" s="34"/>
    </row>
    <row r="19" spans="14:17" ht="18" customHeight="1" x14ac:dyDescent="0.2">
      <c r="N19" s="35"/>
      <c r="O19" s="36"/>
      <c r="P19" s="36"/>
      <c r="Q19" s="36"/>
    </row>
    <row r="20" spans="14:17" ht="18" customHeight="1" x14ac:dyDescent="0.2">
      <c r="N20" s="33"/>
      <c r="O20" s="34"/>
      <c r="P20" s="38"/>
      <c r="Q20" s="34"/>
    </row>
    <row r="21" spans="14:17" ht="18" customHeight="1" x14ac:dyDescent="0.2"/>
    <row r="22" spans="14:17" ht="18" customHeight="1" x14ac:dyDescent="0.2"/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Q8:Q9"/>
    <mergeCell ref="D6:D14"/>
    <mergeCell ref="N6:P7"/>
    <mergeCell ref="N8:N9"/>
    <mergeCell ref="O8:O9"/>
    <mergeCell ref="P8:P9"/>
  </mergeCells>
  <conditionalFormatting sqref="E8:J8">
    <cfRule type="expression" dxfId="18" priority="3" stopIfTrue="1">
      <formula>DAY(E8)&gt;8</formula>
    </cfRule>
  </conditionalFormatting>
  <conditionalFormatting sqref="E12:K14">
    <cfRule type="expression" dxfId="17" priority="2" stopIfTrue="1">
      <formula>AND(DAY(E12)&gt;=1,DAY(E12)&lt;=15)</formula>
    </cfRule>
  </conditionalFormatting>
  <conditionalFormatting sqref="E8:K13">
    <cfRule type="expression" dxfId="16" priority="4">
      <formula>VLOOKUP(DAY(E8),DíasDeTareas,1,FALSE)=DAY(E8)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C2:AQ37"/>
  <sheetViews>
    <sheetView showGridLines="0" zoomScaleNormal="100" zoomScalePageLayoutView="84" workbookViewId="0">
      <selection activeCell="AA11" sqref="AA11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7" customWidth="1"/>
    <col min="15" max="15" width="45.28515625" style="1" customWidth="1"/>
    <col min="16" max="16" width="10.7109375" style="1" customWidth="1"/>
    <col min="17" max="17" width="10.42578125" customWidth="1"/>
    <col min="18" max="24" width="8.85546875" customWidth="1"/>
    <col min="44" max="16384" width="8.7109375" style="1"/>
  </cols>
  <sheetData>
    <row r="2" spans="3:17" ht="16.5" customHeight="1" x14ac:dyDescent="0.2">
      <c r="N2" s="40" t="s">
        <v>41</v>
      </c>
    </row>
    <row r="3" spans="3:17" ht="16.5" customHeight="1" x14ac:dyDescent="0.2">
      <c r="N3" s="40" t="s">
        <v>40</v>
      </c>
    </row>
    <row r="5" spans="3:17" ht="11.25" customHeight="1" x14ac:dyDescent="0.2">
      <c r="C5" s="2"/>
      <c r="D5" s="2"/>
      <c r="E5" s="2"/>
      <c r="F5" s="2"/>
      <c r="G5" s="2"/>
      <c r="H5" s="2"/>
      <c r="I5" s="2"/>
    </row>
    <row r="6" spans="3:17" ht="18" customHeight="1" x14ac:dyDescent="0.2">
      <c r="C6" s="4"/>
      <c r="D6" s="89" t="s">
        <v>28</v>
      </c>
      <c r="E6" s="11"/>
      <c r="F6" s="11"/>
      <c r="G6" s="11"/>
      <c r="H6" s="11"/>
      <c r="I6" s="11"/>
      <c r="J6" s="11"/>
      <c r="K6" s="11"/>
      <c r="L6" s="12"/>
      <c r="N6" s="125" t="s">
        <v>42</v>
      </c>
      <c r="O6" s="126"/>
      <c r="P6" s="126"/>
      <c r="Q6" s="18">
        <v>2022</v>
      </c>
    </row>
    <row r="7" spans="3:17" ht="21" customHeight="1" x14ac:dyDescent="0.2">
      <c r="C7" s="4"/>
      <c r="D7" s="90"/>
      <c r="E7" s="2" t="s">
        <v>8</v>
      </c>
      <c r="F7" s="2" t="s">
        <v>1</v>
      </c>
      <c r="G7" s="2" t="s">
        <v>9</v>
      </c>
      <c r="H7" s="2" t="s">
        <v>10</v>
      </c>
      <c r="I7" s="2" t="s">
        <v>11</v>
      </c>
      <c r="J7" s="2" t="s">
        <v>0</v>
      </c>
      <c r="K7" s="2" t="s">
        <v>12</v>
      </c>
      <c r="L7" s="5"/>
      <c r="N7" s="127"/>
      <c r="O7" s="128"/>
      <c r="P7" s="128"/>
      <c r="Q7" s="39"/>
    </row>
    <row r="8" spans="3:17" ht="18" customHeight="1" x14ac:dyDescent="0.2">
      <c r="C8" s="4"/>
      <c r="D8" s="90"/>
      <c r="E8" s="10">
        <f>IF(DAY(AgoDom1)=1,AgoDom1-6,AgoDom1+1)</f>
        <v>44774</v>
      </c>
      <c r="F8" s="10">
        <f>IF(DAY(AgoDom1)=1,AgoDom1-5,AgoDom1+2)</f>
        <v>44775</v>
      </c>
      <c r="G8" s="45">
        <f>IF(DAY(AgoDom1)=1,AgoDom1-4,AgoDom1+3)</f>
        <v>44776</v>
      </c>
      <c r="H8" s="45">
        <f>IF(DAY(AgoDom1)=1,AgoDom1-3,AgoDom1+4)</f>
        <v>44777</v>
      </c>
      <c r="I8" s="10">
        <f>IF(DAY(AgoDom1)=1,AgoDom1-2,AgoDom1+5)</f>
        <v>44778</v>
      </c>
      <c r="J8" s="10">
        <f>IF(DAY(AgoDom1)=1,AgoDom1-1,AgoDom1+6)</f>
        <v>44779</v>
      </c>
      <c r="K8" s="10">
        <f>IF(DAY(AgoDom1)=1,AgoDom1,AgoDom1+7)</f>
        <v>44780</v>
      </c>
      <c r="L8" s="5"/>
      <c r="N8" s="129" t="s">
        <v>36</v>
      </c>
      <c r="O8" s="129" t="s">
        <v>37</v>
      </c>
      <c r="P8" s="129" t="s">
        <v>38</v>
      </c>
      <c r="Q8" s="129" t="s">
        <v>39</v>
      </c>
    </row>
    <row r="9" spans="3:17" ht="18" customHeight="1" x14ac:dyDescent="0.2">
      <c r="C9" s="4"/>
      <c r="D9" s="90"/>
      <c r="E9" s="10">
        <f>IF(DAY(AgoDom1)=1,AgoDom1+1,AgoDom1+8)</f>
        <v>44781</v>
      </c>
      <c r="F9" s="10">
        <f>IF(DAY(AgoDom1)=1,AgoDom1+2,AgoDom1+9)</f>
        <v>44782</v>
      </c>
      <c r="G9" s="45">
        <f>IF(DAY(AgoDom1)=1,AgoDom1+3,AgoDom1+10)</f>
        <v>44783</v>
      </c>
      <c r="H9" s="45">
        <f>IF(DAY(AgoDom1)=1,AgoDom1+4,AgoDom1+11)</f>
        <v>44784</v>
      </c>
      <c r="I9" s="10">
        <f>IF(DAY(AgoDom1)=1,AgoDom1+5,AgoDom1+12)</f>
        <v>44785</v>
      </c>
      <c r="J9" s="10">
        <f>IF(DAY(AgoDom1)=1,AgoDom1+6,AgoDom1+13)</f>
        <v>44786</v>
      </c>
      <c r="K9" s="10">
        <f>IF(DAY(AgoDom1)=1,AgoDom1+7,AgoDom1+14)</f>
        <v>44787</v>
      </c>
      <c r="L9" s="5"/>
      <c r="N9" s="130"/>
      <c r="O9" s="130"/>
      <c r="P9" s="130"/>
      <c r="Q9" s="130"/>
    </row>
    <row r="10" spans="3:17" ht="42.75" customHeight="1" x14ac:dyDescent="0.2">
      <c r="C10" s="4"/>
      <c r="D10" s="90"/>
      <c r="E10" s="10">
        <f>IF(DAY(AgoDom1)=1,AgoDom1+8,AgoDom1+15)</f>
        <v>44788</v>
      </c>
      <c r="F10" s="10">
        <f>IF(DAY(AgoDom1)=1,AgoDom1+9,AgoDom1+16)</f>
        <v>44789</v>
      </c>
      <c r="G10" s="45">
        <f>IF(DAY(AgoDom1)=1,AgoDom1+10,AgoDom1+17)</f>
        <v>44790</v>
      </c>
      <c r="H10" s="45">
        <f>IF(DAY(AgoDom1)=1,AgoDom1+11,AgoDom1+18)</f>
        <v>44791</v>
      </c>
      <c r="I10" s="10">
        <f>IF(DAY(AgoDom1)=1,AgoDom1+12,AgoDom1+19)</f>
        <v>44792</v>
      </c>
      <c r="J10" s="10">
        <f>IF(DAY(AgoDom1)=1,AgoDom1+13,AgoDom1+20)</f>
        <v>44793</v>
      </c>
      <c r="K10" s="10">
        <f>IF(DAY(AgoDom1)=1,AgoDom1+14,AgoDom1+21)</f>
        <v>44794</v>
      </c>
      <c r="L10" s="5"/>
      <c r="N10" s="33"/>
      <c r="O10" s="34"/>
      <c r="P10" s="38"/>
      <c r="Q10" s="34"/>
    </row>
    <row r="11" spans="3:17" ht="37.5" customHeight="1" x14ac:dyDescent="0.2">
      <c r="C11" s="4"/>
      <c r="D11" s="90"/>
      <c r="E11" s="10">
        <f>IF(DAY(AgoDom1)=1,AgoDom1+15,AgoDom1+22)</f>
        <v>44795</v>
      </c>
      <c r="F11" s="10">
        <f>IF(DAY(AgoDom1)=1,AgoDom1+16,AgoDom1+23)</f>
        <v>44796</v>
      </c>
      <c r="G11" s="10">
        <f>IF(DAY(AgoDom1)=1,AgoDom1+17,AgoDom1+24)</f>
        <v>44797</v>
      </c>
      <c r="H11" s="10">
        <f>IF(DAY(AgoDom1)=1,AgoDom1+18,AgoDom1+25)</f>
        <v>44798</v>
      </c>
      <c r="I11" s="10">
        <f>IF(DAY(AgoDom1)=1,AgoDom1+19,AgoDom1+26)</f>
        <v>44799</v>
      </c>
      <c r="J11" s="10">
        <f>IF(DAY(AgoDom1)=1,AgoDom1+20,AgoDom1+27)</f>
        <v>44800</v>
      </c>
      <c r="K11" s="10">
        <f>IF(DAY(AgoDom1)=1,AgoDom1+21,AgoDom1+28)</f>
        <v>44801</v>
      </c>
      <c r="L11" s="5"/>
      <c r="N11" s="35"/>
      <c r="O11" s="36"/>
      <c r="P11" s="37"/>
      <c r="Q11" s="36"/>
    </row>
    <row r="12" spans="3:17" ht="24" customHeight="1" x14ac:dyDescent="0.2">
      <c r="C12" s="4"/>
      <c r="D12" s="90"/>
      <c r="E12" s="10">
        <f>IF(DAY(AgoDom1)=1,AgoDom1+22,AgoDom1+29)</f>
        <v>44802</v>
      </c>
      <c r="F12" s="10">
        <f>IF(DAY(AgoDom1)=1,AgoDom1+23,AgoDom1+30)</f>
        <v>44803</v>
      </c>
      <c r="G12" s="10">
        <f>IF(DAY(AgoDom1)=1,AgoDom1+24,AgoDom1+31)</f>
        <v>44804</v>
      </c>
      <c r="H12" s="10">
        <f>IF(DAY(AgoDom1)=1,AgoDom1+25,AgoDom1+32)</f>
        <v>44805</v>
      </c>
      <c r="I12" s="10">
        <f>IF(DAY(AgoDom1)=1,AgoDom1+26,AgoDom1+33)</f>
        <v>44806</v>
      </c>
      <c r="J12" s="10">
        <f>IF(DAY(AgoDom1)=1,AgoDom1+27,AgoDom1+34)</f>
        <v>44807</v>
      </c>
      <c r="K12" s="10">
        <f>IF(DAY(AgoDom1)=1,AgoDom1+28,AgoDom1+35)</f>
        <v>44808</v>
      </c>
      <c r="L12" s="5"/>
      <c r="N12" s="33"/>
      <c r="O12" s="34"/>
      <c r="P12" s="38"/>
      <c r="Q12" s="34"/>
    </row>
    <row r="13" spans="3:17" ht="18" customHeight="1" x14ac:dyDescent="0.2">
      <c r="C13" s="4"/>
      <c r="D13" s="90"/>
      <c r="E13" s="10">
        <f>IF(DAY(AgoDom1)=1,AgoDom1+29,AgoDom1+36)</f>
        <v>44809</v>
      </c>
      <c r="F13" s="10">
        <f>IF(DAY(AgoDom1)=1,AgoDom1+30,AgoDom1+37)</f>
        <v>44810</v>
      </c>
      <c r="G13" s="10">
        <f>IF(DAY(AgoDom1)=1,AgoDom1+31,AgoDom1+38)</f>
        <v>44811</v>
      </c>
      <c r="H13" s="10">
        <f>IF(DAY(AgoDom1)=1,AgoDom1+32,AgoDom1+39)</f>
        <v>44812</v>
      </c>
      <c r="I13" s="10">
        <f>IF(DAY(AgoDom1)=1,AgoDom1+33,AgoDom1+40)</f>
        <v>44813</v>
      </c>
      <c r="J13" s="10">
        <f>IF(DAY(AgoDom1)=1,AgoDom1+34,AgoDom1+41)</f>
        <v>44814</v>
      </c>
      <c r="K13" s="10">
        <f>IF(DAY(AgoDom1)=1,AgoDom1+35,AgoDom1+42)</f>
        <v>44815</v>
      </c>
      <c r="L13" s="5"/>
      <c r="N13" s="35"/>
      <c r="O13" s="34"/>
      <c r="P13" s="38"/>
      <c r="Q13" s="36"/>
    </row>
    <row r="14" spans="3:17" ht="45.75" customHeight="1" x14ac:dyDescent="0.2">
      <c r="C14" s="4"/>
      <c r="D14" s="91"/>
      <c r="E14" s="13"/>
      <c r="F14" s="13"/>
      <c r="G14" s="13"/>
      <c r="H14" s="13"/>
      <c r="I14" s="13"/>
      <c r="J14" s="13"/>
      <c r="K14" s="13"/>
      <c r="L14" s="14"/>
      <c r="N14" s="33"/>
      <c r="O14" s="34"/>
      <c r="P14" s="38"/>
      <c r="Q14" s="34"/>
    </row>
    <row r="15" spans="3:17" ht="32.25" customHeight="1" x14ac:dyDescent="0.2">
      <c r="C15" s="4"/>
      <c r="N15" s="35"/>
      <c r="O15" s="34"/>
      <c r="P15" s="37"/>
      <c r="Q15" s="36"/>
    </row>
    <row r="16" spans="3:17" ht="29.25" customHeight="1" x14ac:dyDescent="0.2">
      <c r="C16" s="4"/>
      <c r="N16" s="33"/>
      <c r="O16" s="34"/>
      <c r="P16" s="38"/>
      <c r="Q16" s="34"/>
    </row>
    <row r="17" spans="14:17" ht="31.5" customHeight="1" x14ac:dyDescent="0.2">
      <c r="N17" s="35"/>
      <c r="O17" s="34"/>
      <c r="P17" s="37"/>
      <c r="Q17" s="34"/>
    </row>
    <row r="18" spans="14:17" ht="18" customHeight="1" x14ac:dyDescent="0.2">
      <c r="N18" s="33"/>
      <c r="O18" s="34"/>
      <c r="P18" s="34"/>
      <c r="Q18" s="34"/>
    </row>
    <row r="19" spans="14:17" ht="18" customHeight="1" x14ac:dyDescent="0.2">
      <c r="N19" s="35"/>
      <c r="O19" s="36"/>
      <c r="P19" s="36"/>
      <c r="Q19" s="36"/>
    </row>
    <row r="20" spans="14:17" ht="18" customHeight="1" x14ac:dyDescent="0.2">
      <c r="N20" s="33"/>
      <c r="O20" s="34"/>
      <c r="P20" s="38"/>
      <c r="Q20" s="34"/>
    </row>
    <row r="21" spans="14:17" ht="18" customHeight="1" x14ac:dyDescent="0.2"/>
    <row r="22" spans="14:17" ht="18" customHeight="1" x14ac:dyDescent="0.2"/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Q8:Q9"/>
    <mergeCell ref="D6:D14"/>
    <mergeCell ref="N6:P7"/>
    <mergeCell ref="N8:N9"/>
    <mergeCell ref="O8:O9"/>
    <mergeCell ref="P8:P9"/>
  </mergeCells>
  <conditionalFormatting sqref="E8:J8">
    <cfRule type="expression" dxfId="15" priority="3" stopIfTrue="1">
      <formula>DAY(E8)&gt;8</formula>
    </cfRule>
  </conditionalFormatting>
  <conditionalFormatting sqref="E12:K14">
    <cfRule type="expression" dxfId="14" priority="2" stopIfTrue="1">
      <formula>AND(DAY(E12)&gt;=1,DAY(E12)&lt;=15)</formula>
    </cfRule>
  </conditionalFormatting>
  <conditionalFormatting sqref="E8:K13">
    <cfRule type="expression" dxfId="13" priority="4">
      <formula>VLOOKUP(DAY(E8),DíasDeTareas,1,FALSE)=DAY(E8)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C2:AQ77"/>
  <sheetViews>
    <sheetView showGridLines="0" zoomScaleNormal="100" zoomScalePageLayoutView="84" workbookViewId="0">
      <selection activeCell="U8" sqref="U8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9.7109375" customWidth="1"/>
    <col min="15" max="15" width="48.7109375" style="1" customWidth="1"/>
    <col min="16" max="16" width="10.7109375" style="1" customWidth="1"/>
    <col min="17" max="17" width="20.28515625" style="62" customWidth="1"/>
    <col min="18" max="24" width="8.85546875" customWidth="1"/>
    <col min="44" max="16384" width="8.7109375" style="1"/>
  </cols>
  <sheetData>
    <row r="2" spans="3:17" ht="16.5" customHeight="1" x14ac:dyDescent="0.2">
      <c r="N2" s="40" t="s">
        <v>41</v>
      </c>
    </row>
    <row r="3" spans="3:17" ht="16.5" customHeight="1" x14ac:dyDescent="0.2">
      <c r="N3" s="40" t="s">
        <v>40</v>
      </c>
    </row>
    <row r="4" spans="3:17" ht="11.25" customHeight="1" x14ac:dyDescent="0.2"/>
    <row r="5" spans="3:17" ht="18" customHeight="1" x14ac:dyDescent="0.2">
      <c r="C5" s="4"/>
      <c r="D5" s="89" t="s">
        <v>27</v>
      </c>
      <c r="E5" s="11"/>
      <c r="F5" s="11"/>
      <c r="G5" s="11"/>
      <c r="H5" s="11"/>
      <c r="I5" s="11"/>
      <c r="J5" s="11"/>
      <c r="K5" s="11"/>
      <c r="L5" s="12"/>
      <c r="N5" s="125" t="s">
        <v>42</v>
      </c>
      <c r="O5" s="126"/>
      <c r="P5" s="126"/>
      <c r="Q5" s="63">
        <v>2022</v>
      </c>
    </row>
    <row r="6" spans="3:17" ht="21" customHeight="1" x14ac:dyDescent="0.2">
      <c r="C6" s="4"/>
      <c r="D6" s="90"/>
      <c r="E6" s="2" t="s">
        <v>8</v>
      </c>
      <c r="F6" s="2" t="s">
        <v>1</v>
      </c>
      <c r="G6" s="2" t="s">
        <v>9</v>
      </c>
      <c r="H6" s="2" t="s">
        <v>10</v>
      </c>
      <c r="I6" s="2" t="s">
        <v>11</v>
      </c>
      <c r="J6" s="2" t="s">
        <v>0</v>
      </c>
      <c r="K6" s="2" t="s">
        <v>12</v>
      </c>
      <c r="L6" s="5"/>
      <c r="N6" s="127"/>
      <c r="O6" s="128"/>
      <c r="P6" s="128"/>
      <c r="Q6" s="64"/>
    </row>
    <row r="7" spans="3:17" ht="18" customHeight="1" x14ac:dyDescent="0.2">
      <c r="C7" s="4"/>
      <c r="D7" s="90"/>
      <c r="E7" s="10">
        <f>IF(DAY(SepDom1)=1,SepDom1-6,SepDom1+1)</f>
        <v>44802</v>
      </c>
      <c r="F7" s="45">
        <f>IF(DAY(SepDom1)=1,SepDom1-5,SepDom1+2)</f>
        <v>44803</v>
      </c>
      <c r="G7" s="45">
        <f>IF(DAY(SepDom1)=1,SepDom1-4,SepDom1+3)</f>
        <v>44804</v>
      </c>
      <c r="H7" s="45">
        <f>IF(DAY(SepDom1)=1,SepDom1-3,SepDom1+4)</f>
        <v>44805</v>
      </c>
      <c r="I7" s="45">
        <f>IF(DAY(SepDom1)=1,SepDom1-2,SepDom1+5)</f>
        <v>44806</v>
      </c>
      <c r="J7" s="45">
        <f>IF(DAY(SepDom1)=1,SepDom1-1,SepDom1+6)</f>
        <v>44807</v>
      </c>
      <c r="K7" s="10">
        <f>IF(DAY(SepDom1)=1,SepDom1,SepDom1+7)</f>
        <v>44808</v>
      </c>
      <c r="L7" s="5"/>
      <c r="N7" s="129" t="s">
        <v>36</v>
      </c>
      <c r="O7" s="129" t="s">
        <v>37</v>
      </c>
      <c r="P7" s="129" t="s">
        <v>38</v>
      </c>
      <c r="Q7" s="129" t="s">
        <v>39</v>
      </c>
    </row>
    <row r="8" spans="3:17" ht="18" customHeight="1" x14ac:dyDescent="0.2">
      <c r="C8" s="4"/>
      <c r="D8" s="90"/>
      <c r="E8" s="10">
        <f>IF(DAY(SepDom1)=1,SepDom1+1,SepDom1+8)</f>
        <v>44809</v>
      </c>
      <c r="F8" s="45">
        <f>IF(DAY(SepDom1)=1,SepDom1+2,SepDom1+9)</f>
        <v>44810</v>
      </c>
      <c r="G8" s="45">
        <f>IF(DAY(SepDom1)=1,SepDom1+3,SepDom1+10)</f>
        <v>44811</v>
      </c>
      <c r="H8" s="45">
        <f>IF(DAY(SepDom1)=1,SepDom1+4,SepDom1+11)</f>
        <v>44812</v>
      </c>
      <c r="I8" s="45">
        <f>IF(DAY(SepDom1)=1,SepDom1+5,SepDom1+12)</f>
        <v>44813</v>
      </c>
      <c r="J8" s="45">
        <f>IF(DAY(SepDom1)=1,SepDom1+6,SepDom1+13)</f>
        <v>44814</v>
      </c>
      <c r="K8" s="10">
        <f>IF(DAY(SepDom1)=1,SepDom1+7,SepDom1+14)</f>
        <v>44815</v>
      </c>
      <c r="L8" s="5"/>
      <c r="N8" s="130"/>
      <c r="O8" s="130"/>
      <c r="P8" s="130"/>
      <c r="Q8" s="130"/>
    </row>
    <row r="9" spans="3:17" ht="36" customHeight="1" x14ac:dyDescent="0.2">
      <c r="C9" s="4"/>
      <c r="D9" s="90"/>
      <c r="E9" s="10">
        <f>IF(DAY(SepDom1)=1,SepDom1+8,SepDom1+15)</f>
        <v>44816</v>
      </c>
      <c r="F9" s="45">
        <f>IF(DAY(SepDom1)=1,SepDom1+9,SepDom1+16)</f>
        <v>44817</v>
      </c>
      <c r="G9" s="45">
        <f>IF(DAY(SepDom1)=1,SepDom1+10,SepDom1+17)</f>
        <v>44818</v>
      </c>
      <c r="H9" s="45">
        <f>IF(DAY(SepDom1)=1,SepDom1+11,SepDom1+18)</f>
        <v>44819</v>
      </c>
      <c r="I9" s="45">
        <f>IF(DAY(SepDom1)=1,SepDom1+12,SepDom1+19)</f>
        <v>44820</v>
      </c>
      <c r="J9" s="45">
        <f>IF(DAY(SepDom1)=1,SepDom1+13,SepDom1+20)</f>
        <v>44821</v>
      </c>
      <c r="K9" s="10">
        <f>IF(DAY(SepDom1)=1,SepDom1+14,SepDom1+21)</f>
        <v>44822</v>
      </c>
      <c r="L9" s="5"/>
      <c r="N9" s="33"/>
      <c r="O9" s="34"/>
      <c r="P9" s="38"/>
      <c r="Q9" s="65"/>
    </row>
    <row r="10" spans="3:17" ht="18" customHeight="1" x14ac:dyDescent="0.2">
      <c r="C10" s="4"/>
      <c r="D10" s="90"/>
      <c r="E10" s="10">
        <f>IF(DAY(SepDom1)=1,SepDom1+15,SepDom1+22)</f>
        <v>44823</v>
      </c>
      <c r="F10" s="45">
        <f>IF(DAY(SepDom1)=1,SepDom1+16,SepDom1+23)</f>
        <v>44824</v>
      </c>
      <c r="G10" s="45">
        <f>IF(DAY(SepDom1)=1,SepDom1+17,SepDom1+24)</f>
        <v>44825</v>
      </c>
      <c r="H10" s="45">
        <f>IF(DAY(SepDom1)=1,SepDom1+18,SepDom1+25)</f>
        <v>44826</v>
      </c>
      <c r="I10" s="45">
        <f>IF(DAY(SepDom1)=1,SepDom1+19,SepDom1+26)</f>
        <v>44827</v>
      </c>
      <c r="J10" s="45">
        <f>IF(DAY(SepDom1)=1,SepDom1+20,SepDom1+27)</f>
        <v>44828</v>
      </c>
      <c r="K10" s="10">
        <f>IF(DAY(SepDom1)=1,SepDom1+21,SepDom1+28)</f>
        <v>44829</v>
      </c>
      <c r="L10" s="5"/>
      <c r="N10" s="35"/>
      <c r="O10" s="36"/>
      <c r="P10" s="37"/>
      <c r="Q10" s="66"/>
    </row>
    <row r="11" spans="3:17" ht="40.5" customHeight="1" x14ac:dyDescent="0.2">
      <c r="C11" s="4"/>
      <c r="D11" s="90"/>
      <c r="E11" s="10">
        <f>IF(DAY(SepDom1)=1,SepDom1+22,SepDom1+29)</f>
        <v>44830</v>
      </c>
      <c r="F11" s="45">
        <f>IF(DAY(SepDom1)=1,SepDom1+23,SepDom1+30)</f>
        <v>44831</v>
      </c>
      <c r="G11" s="45">
        <f>IF(DAY(SepDom1)=1,SepDom1+24,SepDom1+31)</f>
        <v>44832</v>
      </c>
      <c r="H11" s="45">
        <f>IF(DAY(SepDom1)=1,SepDom1+25,SepDom1+32)</f>
        <v>44833</v>
      </c>
      <c r="I11" s="45">
        <f>IF(DAY(SepDom1)=1,SepDom1+26,SepDom1+33)</f>
        <v>44834</v>
      </c>
      <c r="J11" s="45">
        <f>IF(DAY(SepDom1)=1,SepDom1+27,SepDom1+34)</f>
        <v>44835</v>
      </c>
      <c r="K11" s="10">
        <f>IF(DAY(SepDom1)=1,SepDom1+28,SepDom1+35)</f>
        <v>44836</v>
      </c>
      <c r="L11" s="5"/>
      <c r="N11" s="33"/>
      <c r="O11" s="34"/>
      <c r="P11" s="38"/>
      <c r="Q11" s="52"/>
    </row>
    <row r="12" spans="3:17" ht="28.5" customHeight="1" x14ac:dyDescent="0.2">
      <c r="C12" s="4"/>
      <c r="D12" s="90"/>
      <c r="E12" s="10">
        <f>IF(DAY(SepDom1)=1,SepDom1+29,SepDom1+36)</f>
        <v>44837</v>
      </c>
      <c r="F12" s="10">
        <f>IF(DAY(SepDom1)=1,SepDom1+30,SepDom1+37)</f>
        <v>44838</v>
      </c>
      <c r="G12" s="10">
        <f>IF(DAY(SepDom1)=1,SepDom1+31,SepDom1+38)</f>
        <v>44839</v>
      </c>
      <c r="H12" s="10">
        <f>IF(DAY(SepDom1)=1,SepDom1+32,SepDom1+39)</f>
        <v>44840</v>
      </c>
      <c r="I12" s="10">
        <f>IF(DAY(SepDom1)=1,SepDom1+33,SepDom1+40)</f>
        <v>44841</v>
      </c>
      <c r="J12" s="10">
        <f>IF(DAY(SepDom1)=1,SepDom1+34,SepDom1+41)</f>
        <v>44842</v>
      </c>
      <c r="K12" s="10">
        <f>IF(DAY(SepDom1)=1,SepDom1+35,SepDom1+42)</f>
        <v>44843</v>
      </c>
      <c r="L12" s="5"/>
      <c r="N12" s="35"/>
      <c r="O12" s="36"/>
      <c r="P12" s="36"/>
      <c r="Q12" s="66"/>
    </row>
    <row r="13" spans="3:17" ht="18" customHeight="1" x14ac:dyDescent="0.2">
      <c r="C13" s="4"/>
      <c r="D13" s="91"/>
      <c r="E13" s="13"/>
      <c r="F13" s="13"/>
      <c r="G13" s="13"/>
      <c r="H13" s="13"/>
      <c r="I13" s="13"/>
      <c r="J13" s="13"/>
      <c r="K13" s="13"/>
      <c r="L13" s="14"/>
      <c r="N13" s="33"/>
      <c r="O13" s="34"/>
      <c r="P13" s="34"/>
      <c r="Q13" s="52"/>
    </row>
    <row r="14" spans="3:17" ht="18" customHeight="1" x14ac:dyDescent="0.2">
      <c r="C14" s="4"/>
      <c r="D14" s="15"/>
      <c r="E14" s="41"/>
      <c r="F14" s="41"/>
      <c r="G14" s="41"/>
      <c r="H14" s="41"/>
      <c r="I14" s="41"/>
      <c r="J14" s="41"/>
      <c r="K14" s="41"/>
      <c r="L14" s="5"/>
      <c r="N14" s="35"/>
      <c r="O14" s="36"/>
      <c r="P14" s="36"/>
      <c r="Q14" s="66"/>
    </row>
    <row r="15" spans="3:17" ht="18" customHeight="1" x14ac:dyDescent="0.2">
      <c r="C15" s="4"/>
      <c r="D15" s="15"/>
      <c r="E15" s="41"/>
      <c r="F15" s="41"/>
      <c r="G15" s="41"/>
      <c r="H15" s="41"/>
      <c r="I15" s="41"/>
      <c r="J15" s="41"/>
      <c r="K15" s="41"/>
      <c r="L15" s="5"/>
      <c r="N15" s="33"/>
      <c r="O15" s="34"/>
      <c r="P15" s="34"/>
      <c r="Q15" s="52"/>
    </row>
    <row r="16" spans="3:17" ht="18" customHeight="1" x14ac:dyDescent="0.2">
      <c r="D16" s="15"/>
      <c r="E16" s="41"/>
      <c r="F16" s="41"/>
      <c r="G16" s="41"/>
      <c r="H16" s="41"/>
      <c r="I16" s="41"/>
      <c r="J16" s="41"/>
      <c r="K16" s="41"/>
      <c r="L16" s="5"/>
      <c r="N16" s="35"/>
      <c r="O16" s="36"/>
      <c r="P16" s="37"/>
      <c r="Q16" s="66"/>
    </row>
    <row r="17" spans="4:17" ht="18" customHeight="1" x14ac:dyDescent="0.2">
      <c r="D17" s="15"/>
      <c r="E17" s="41"/>
      <c r="F17" s="41"/>
      <c r="G17" s="41"/>
      <c r="H17" s="41"/>
      <c r="I17" s="41"/>
      <c r="J17" s="41"/>
      <c r="K17" s="41"/>
      <c r="L17" s="5"/>
      <c r="N17" s="33"/>
      <c r="O17" s="34"/>
      <c r="P17" s="34"/>
      <c r="Q17" s="52"/>
    </row>
    <row r="18" spans="4:17" ht="18" customHeight="1" x14ac:dyDescent="0.2">
      <c r="D18" s="15"/>
      <c r="E18" s="41"/>
      <c r="F18" s="41"/>
      <c r="G18" s="41"/>
      <c r="H18" s="41"/>
      <c r="I18" s="41"/>
      <c r="J18" s="41"/>
      <c r="K18" s="41"/>
      <c r="L18" s="5"/>
      <c r="N18" s="35"/>
      <c r="O18" s="36"/>
      <c r="P18" s="36"/>
      <c r="Q18" s="66"/>
    </row>
    <row r="19" spans="4:17" ht="18" customHeight="1" x14ac:dyDescent="0.2">
      <c r="D19" s="15"/>
      <c r="E19" s="41"/>
      <c r="F19" s="41"/>
      <c r="G19" s="41"/>
      <c r="H19" s="41"/>
      <c r="I19" s="41"/>
      <c r="J19" s="41"/>
      <c r="K19" s="41"/>
      <c r="L19" s="5"/>
      <c r="N19" s="33"/>
      <c r="O19" s="34"/>
      <c r="P19" s="38"/>
      <c r="Q19" s="52"/>
    </row>
    <row r="20" spans="4:17" ht="18" customHeight="1" x14ac:dyDescent="0.2">
      <c r="D20" s="15"/>
      <c r="E20" s="41"/>
      <c r="F20" s="41"/>
      <c r="G20" s="41"/>
      <c r="H20" s="41"/>
      <c r="I20" s="41"/>
      <c r="J20" s="41"/>
      <c r="K20" s="41"/>
      <c r="L20" s="5"/>
    </row>
    <row r="21" spans="4:17" ht="18" customHeight="1" x14ac:dyDescent="0.2">
      <c r="D21" s="15"/>
      <c r="E21" s="41"/>
      <c r="F21" s="41"/>
      <c r="G21" s="41"/>
      <c r="H21" s="41"/>
      <c r="I21" s="41"/>
      <c r="J21" s="41"/>
      <c r="K21" s="41"/>
      <c r="L21" s="5"/>
    </row>
    <row r="22" spans="4:17" ht="18" customHeight="1" x14ac:dyDescent="0.2">
      <c r="D22" s="15"/>
      <c r="E22" s="41"/>
      <c r="F22" s="41"/>
      <c r="G22" s="41"/>
      <c r="H22" s="41"/>
      <c r="I22" s="41"/>
      <c r="J22" s="41"/>
      <c r="K22" s="41"/>
      <c r="L22" s="5"/>
    </row>
    <row r="23" spans="4:17" ht="18" customHeight="1" x14ac:dyDescent="0.2">
      <c r="D23" s="15"/>
      <c r="E23" s="41"/>
      <c r="F23" s="41"/>
      <c r="G23" s="41"/>
      <c r="H23" s="41"/>
      <c r="I23" s="41"/>
      <c r="J23" s="41"/>
      <c r="K23" s="41"/>
      <c r="L23" s="5"/>
    </row>
    <row r="24" spans="4:17" ht="18" customHeight="1" x14ac:dyDescent="0.2">
      <c r="D24" s="15"/>
      <c r="E24" s="41"/>
      <c r="F24" s="41"/>
      <c r="G24" s="41"/>
      <c r="H24" s="41"/>
      <c r="I24" s="41"/>
      <c r="J24" s="41"/>
      <c r="K24" s="41"/>
      <c r="L24" s="5"/>
    </row>
    <row r="25" spans="4:17" ht="18" customHeight="1" x14ac:dyDescent="0.2">
      <c r="D25" s="15"/>
      <c r="E25" s="41"/>
      <c r="F25" s="41"/>
      <c r="G25" s="41"/>
      <c r="H25" s="41"/>
      <c r="I25" s="41"/>
      <c r="J25" s="41"/>
      <c r="K25" s="41"/>
      <c r="L25" s="5"/>
    </row>
    <row r="26" spans="4:17" ht="18" customHeight="1" x14ac:dyDescent="0.2">
      <c r="D26" s="15"/>
      <c r="E26" s="41"/>
      <c r="F26" s="41"/>
      <c r="G26" s="41"/>
      <c r="H26" s="41"/>
      <c r="I26" s="41"/>
      <c r="J26" s="41"/>
      <c r="K26" s="41"/>
      <c r="L26" s="5"/>
    </row>
    <row r="27" spans="4:17" ht="18" customHeight="1" x14ac:dyDescent="0.2">
      <c r="D27" s="15"/>
      <c r="E27" s="41"/>
      <c r="F27" s="41"/>
      <c r="G27" s="41"/>
      <c r="H27" s="41"/>
      <c r="I27" s="41"/>
      <c r="J27" s="41"/>
      <c r="K27" s="41"/>
      <c r="L27" s="5"/>
    </row>
    <row r="28" spans="4:17" ht="18" customHeight="1" x14ac:dyDescent="0.2">
      <c r="D28" s="15"/>
      <c r="E28" s="41"/>
      <c r="F28" s="41"/>
      <c r="G28" s="41"/>
      <c r="H28" s="41"/>
      <c r="I28" s="41"/>
      <c r="J28" s="41"/>
      <c r="K28" s="41"/>
      <c r="L28" s="5"/>
    </row>
    <row r="29" spans="4:17" ht="18" customHeight="1" x14ac:dyDescent="0.2">
      <c r="D29" s="15"/>
      <c r="E29" s="41"/>
      <c r="F29" s="41"/>
      <c r="G29" s="41"/>
      <c r="H29" s="41"/>
      <c r="I29" s="41"/>
      <c r="J29" s="41"/>
      <c r="K29" s="41"/>
      <c r="L29" s="5"/>
    </row>
    <row r="30" spans="4:17" ht="18" customHeight="1" x14ac:dyDescent="0.2">
      <c r="D30" s="15"/>
      <c r="E30" s="41"/>
      <c r="F30" s="41"/>
      <c r="G30" s="41"/>
      <c r="H30" s="41"/>
      <c r="I30" s="41"/>
      <c r="J30" s="41"/>
      <c r="K30" s="41"/>
      <c r="L30" s="5"/>
    </row>
    <row r="31" spans="4:17" ht="18" customHeight="1" x14ac:dyDescent="0.2">
      <c r="D31" s="15"/>
      <c r="E31" s="41"/>
      <c r="F31" s="41"/>
      <c r="G31" s="41"/>
      <c r="H31" s="41"/>
      <c r="I31" s="41"/>
      <c r="J31" s="41"/>
      <c r="K31" s="41"/>
      <c r="L31" s="5"/>
    </row>
    <row r="32" spans="4:17" ht="18" customHeight="1" x14ac:dyDescent="0.2">
      <c r="D32" s="15"/>
      <c r="E32" s="41"/>
      <c r="F32" s="41"/>
      <c r="G32" s="41"/>
      <c r="H32" s="41"/>
      <c r="I32" s="41"/>
      <c r="J32" s="41"/>
      <c r="K32" s="41"/>
      <c r="L32" s="5"/>
    </row>
    <row r="33" spans="4:12" ht="18" customHeight="1" x14ac:dyDescent="0.2">
      <c r="D33" s="15"/>
      <c r="E33" s="41"/>
      <c r="F33" s="41"/>
      <c r="G33" s="41"/>
      <c r="H33" s="41"/>
      <c r="I33" s="41"/>
      <c r="J33" s="41"/>
      <c r="K33" s="41"/>
      <c r="L33" s="5"/>
    </row>
    <row r="34" spans="4:12" ht="18" customHeight="1" x14ac:dyDescent="0.2">
      <c r="D34" s="15"/>
      <c r="E34" s="41"/>
      <c r="F34" s="41"/>
      <c r="G34" s="41"/>
      <c r="H34" s="41"/>
      <c r="I34" s="41"/>
      <c r="J34" s="41"/>
      <c r="K34" s="41"/>
      <c r="L34" s="5"/>
    </row>
    <row r="35" spans="4:12" ht="18" customHeight="1" x14ac:dyDescent="0.2">
      <c r="D35" s="15"/>
      <c r="E35" s="41"/>
      <c r="F35" s="41"/>
      <c r="G35" s="41"/>
      <c r="H35" s="41"/>
      <c r="I35" s="41"/>
      <c r="J35" s="41"/>
      <c r="K35" s="41"/>
      <c r="L35" s="5"/>
    </row>
    <row r="36" spans="4:12" ht="18" customHeight="1" x14ac:dyDescent="0.2">
      <c r="D36" s="15"/>
      <c r="E36" s="41"/>
      <c r="F36" s="41"/>
      <c r="G36" s="41"/>
      <c r="H36" s="41"/>
      <c r="I36" s="41"/>
      <c r="J36" s="41"/>
      <c r="K36" s="41"/>
      <c r="L36" s="5"/>
    </row>
    <row r="37" spans="4:12" ht="16.5" customHeight="1" x14ac:dyDescent="0.2">
      <c r="D37" s="15"/>
      <c r="E37" s="41"/>
      <c r="F37" s="41"/>
      <c r="G37" s="41"/>
      <c r="H37" s="41"/>
      <c r="I37" s="41"/>
      <c r="J37" s="41"/>
      <c r="K37" s="41"/>
      <c r="L37" s="5"/>
    </row>
    <row r="38" spans="4:12" ht="16.5" customHeight="1" x14ac:dyDescent="0.2">
      <c r="D38" s="15"/>
      <c r="E38" s="41"/>
      <c r="F38" s="41"/>
      <c r="G38" s="41"/>
      <c r="H38" s="41"/>
      <c r="I38" s="41"/>
      <c r="J38" s="41"/>
      <c r="K38" s="41"/>
      <c r="L38" s="5"/>
    </row>
    <row r="39" spans="4:12" ht="16.5" customHeight="1" x14ac:dyDescent="0.2">
      <c r="D39" s="15"/>
      <c r="E39" s="41"/>
      <c r="F39" s="41"/>
      <c r="G39" s="41"/>
      <c r="H39" s="41"/>
      <c r="I39" s="41"/>
      <c r="J39" s="41"/>
      <c r="K39" s="41"/>
      <c r="L39" s="5"/>
    </row>
    <row r="40" spans="4:12" ht="16.5" customHeight="1" x14ac:dyDescent="0.2">
      <c r="D40" s="15"/>
      <c r="E40" s="41"/>
      <c r="F40" s="41"/>
      <c r="G40" s="41"/>
      <c r="H40" s="41"/>
      <c r="I40" s="41"/>
      <c r="J40" s="41"/>
      <c r="K40" s="41"/>
      <c r="L40" s="5"/>
    </row>
    <row r="41" spans="4:12" ht="16.5" customHeight="1" x14ac:dyDescent="0.2">
      <c r="D41" s="15"/>
      <c r="E41" s="41"/>
      <c r="F41" s="41"/>
      <c r="G41" s="41"/>
      <c r="H41" s="41"/>
      <c r="I41" s="41"/>
      <c r="J41" s="41"/>
      <c r="K41" s="41"/>
      <c r="L41" s="5"/>
    </row>
    <row r="42" spans="4:12" ht="16.5" customHeight="1" x14ac:dyDescent="0.2">
      <c r="D42" s="15"/>
      <c r="E42" s="41"/>
      <c r="F42" s="41"/>
      <c r="G42" s="41"/>
      <c r="H42" s="41"/>
      <c r="I42" s="41"/>
      <c r="J42" s="41"/>
      <c r="K42" s="41"/>
      <c r="L42" s="5"/>
    </row>
    <row r="43" spans="4:12" ht="16.5" customHeight="1" x14ac:dyDescent="0.2">
      <c r="D43" s="15"/>
      <c r="E43" s="41"/>
      <c r="F43" s="41"/>
      <c r="G43" s="41"/>
      <c r="H43" s="41"/>
      <c r="I43" s="41"/>
      <c r="J43" s="41"/>
      <c r="K43" s="41"/>
      <c r="L43" s="5"/>
    </row>
    <row r="44" spans="4:12" ht="16.5" customHeight="1" x14ac:dyDescent="0.2">
      <c r="D44" s="15"/>
      <c r="E44" s="41"/>
      <c r="F44" s="41"/>
      <c r="G44" s="41"/>
      <c r="H44" s="41"/>
      <c r="I44" s="41"/>
      <c r="J44" s="41"/>
      <c r="K44" s="41"/>
      <c r="L44" s="5"/>
    </row>
    <row r="45" spans="4:12" ht="16.5" customHeight="1" x14ac:dyDescent="0.2">
      <c r="D45" s="15"/>
      <c r="E45" s="41"/>
      <c r="F45" s="41"/>
      <c r="G45" s="41"/>
      <c r="H45" s="41"/>
      <c r="I45" s="41"/>
      <c r="J45" s="41"/>
      <c r="K45" s="41"/>
      <c r="L45" s="5"/>
    </row>
    <row r="46" spans="4:12" ht="16.5" customHeight="1" x14ac:dyDescent="0.2">
      <c r="D46" s="15"/>
      <c r="E46" s="41"/>
      <c r="F46" s="41"/>
      <c r="G46" s="41"/>
      <c r="H46" s="41"/>
      <c r="I46" s="41"/>
      <c r="J46" s="41"/>
      <c r="K46" s="41"/>
      <c r="L46" s="5"/>
    </row>
    <row r="47" spans="4:12" ht="16.5" customHeight="1" x14ac:dyDescent="0.2">
      <c r="D47" s="15"/>
      <c r="E47" s="41"/>
      <c r="F47" s="41"/>
      <c r="G47" s="41"/>
      <c r="H47" s="41"/>
      <c r="I47" s="41"/>
      <c r="J47" s="41"/>
      <c r="K47" s="41"/>
      <c r="L47" s="5"/>
    </row>
    <row r="48" spans="4:12" ht="16.5" customHeight="1" x14ac:dyDescent="0.2">
      <c r="D48" s="15"/>
      <c r="E48" s="41"/>
      <c r="F48" s="41"/>
      <c r="G48" s="41"/>
      <c r="H48" s="41"/>
      <c r="I48" s="41"/>
      <c r="J48" s="41"/>
      <c r="K48" s="41"/>
      <c r="L48" s="5"/>
    </row>
    <row r="49" spans="4:12" ht="16.5" customHeight="1" x14ac:dyDescent="0.2">
      <c r="D49" s="15"/>
      <c r="E49" s="41"/>
      <c r="F49" s="41"/>
      <c r="G49" s="41"/>
      <c r="H49" s="41"/>
      <c r="I49" s="41"/>
      <c r="J49" s="41"/>
      <c r="K49" s="41"/>
      <c r="L49" s="5"/>
    </row>
    <row r="50" spans="4:12" ht="16.5" customHeight="1" x14ac:dyDescent="0.2">
      <c r="D50" s="15"/>
      <c r="E50" s="41"/>
      <c r="F50" s="41"/>
      <c r="G50" s="41"/>
      <c r="H50" s="41"/>
      <c r="I50" s="41"/>
      <c r="J50" s="41"/>
      <c r="K50" s="41"/>
      <c r="L50" s="5"/>
    </row>
    <row r="51" spans="4:12" ht="16.5" customHeight="1" x14ac:dyDescent="0.2">
      <c r="D51" s="15"/>
      <c r="E51" s="41"/>
      <c r="F51" s="41"/>
      <c r="G51" s="41"/>
      <c r="H51" s="41"/>
      <c r="I51" s="41"/>
      <c r="J51" s="41"/>
      <c r="K51" s="41"/>
      <c r="L51" s="5"/>
    </row>
    <row r="52" spans="4:12" ht="16.5" customHeight="1" x14ac:dyDescent="0.2">
      <c r="D52" s="15"/>
      <c r="E52" s="41"/>
      <c r="F52" s="41"/>
      <c r="G52" s="41"/>
      <c r="H52" s="41"/>
      <c r="I52" s="41"/>
      <c r="J52" s="41"/>
      <c r="K52" s="41"/>
      <c r="L52" s="5"/>
    </row>
    <row r="53" spans="4:12" ht="16.5" customHeight="1" x14ac:dyDescent="0.2">
      <c r="D53" s="15"/>
      <c r="E53" s="41"/>
      <c r="F53" s="41"/>
      <c r="G53" s="41"/>
      <c r="H53" s="41"/>
      <c r="I53" s="41"/>
      <c r="J53" s="41"/>
      <c r="K53" s="41"/>
      <c r="L53" s="5"/>
    </row>
    <row r="54" spans="4:12" ht="16.5" customHeight="1" x14ac:dyDescent="0.2">
      <c r="D54" s="15"/>
      <c r="E54" s="41"/>
      <c r="F54" s="41"/>
      <c r="G54" s="41"/>
      <c r="H54" s="41"/>
      <c r="I54" s="41"/>
      <c r="J54" s="41"/>
      <c r="K54" s="41"/>
      <c r="L54" s="5"/>
    </row>
    <row r="55" spans="4:12" ht="16.5" customHeight="1" x14ac:dyDescent="0.2">
      <c r="D55" s="161" t="s">
        <v>14</v>
      </c>
      <c r="E55" s="162"/>
      <c r="F55" s="162"/>
      <c r="G55" s="162"/>
      <c r="H55" s="162"/>
      <c r="I55" s="162"/>
      <c r="J55" s="162"/>
      <c r="K55" s="162"/>
      <c r="L55" s="163"/>
    </row>
    <row r="56" spans="4:12" ht="16.5" customHeight="1" x14ac:dyDescent="0.2">
      <c r="D56" s="161"/>
      <c r="E56" s="162"/>
      <c r="F56" s="162"/>
      <c r="G56" s="162"/>
      <c r="H56" s="162"/>
      <c r="I56" s="162"/>
      <c r="J56" s="162"/>
      <c r="K56" s="162"/>
      <c r="L56" s="163"/>
    </row>
    <row r="57" spans="4:12" ht="16.5" customHeight="1" x14ac:dyDescent="0.2">
      <c r="D57" s="3" t="s">
        <v>15</v>
      </c>
      <c r="E57" s="164" t="s">
        <v>16</v>
      </c>
      <c r="F57" s="165"/>
      <c r="G57" s="164" t="s">
        <v>17</v>
      </c>
      <c r="H57" s="165"/>
      <c r="I57" s="164" t="s">
        <v>18</v>
      </c>
      <c r="J57" s="165"/>
      <c r="K57" s="164" t="s">
        <v>19</v>
      </c>
      <c r="L57" s="166"/>
    </row>
    <row r="58" spans="4:12" ht="16.5" customHeight="1" x14ac:dyDescent="0.2">
      <c r="D58" s="8" t="s">
        <v>2</v>
      </c>
      <c r="E58" s="147"/>
      <c r="F58" s="148"/>
      <c r="G58" s="147" t="s">
        <v>2</v>
      </c>
      <c r="H58" s="148"/>
      <c r="I58" s="147"/>
      <c r="J58" s="148"/>
      <c r="K58" s="147" t="s">
        <v>2</v>
      </c>
      <c r="L58" s="153"/>
    </row>
    <row r="59" spans="4:12" ht="16.5" customHeight="1" x14ac:dyDescent="0.2">
      <c r="D59" s="6" t="s">
        <v>20</v>
      </c>
      <c r="E59" s="144"/>
      <c r="F59" s="145"/>
      <c r="G59" s="144" t="s">
        <v>20</v>
      </c>
      <c r="H59" s="145"/>
      <c r="I59" s="144"/>
      <c r="J59" s="145"/>
      <c r="K59" s="151" t="s">
        <v>20</v>
      </c>
      <c r="L59" s="152"/>
    </row>
    <row r="60" spans="4:12" ht="16.5" customHeight="1" x14ac:dyDescent="0.2">
      <c r="D60" s="8"/>
      <c r="E60" s="147" t="s">
        <v>3</v>
      </c>
      <c r="F60" s="148"/>
      <c r="G60" s="147"/>
      <c r="H60" s="148"/>
      <c r="I60" s="147" t="s">
        <v>3</v>
      </c>
      <c r="J60" s="148"/>
      <c r="K60" s="149"/>
      <c r="L60" s="150"/>
    </row>
    <row r="61" spans="4:12" ht="16.5" customHeight="1" x14ac:dyDescent="0.2">
      <c r="D61" s="6"/>
      <c r="E61" s="144" t="s">
        <v>21</v>
      </c>
      <c r="F61" s="145"/>
      <c r="G61" s="144"/>
      <c r="H61" s="145"/>
      <c r="I61" s="144" t="s">
        <v>21</v>
      </c>
      <c r="J61" s="145"/>
      <c r="K61" s="151"/>
      <c r="L61" s="152"/>
    </row>
    <row r="62" spans="4:12" ht="16.5" customHeight="1" x14ac:dyDescent="0.2">
      <c r="D62" s="9" t="s">
        <v>5</v>
      </c>
      <c r="E62" s="158"/>
      <c r="F62" s="159"/>
      <c r="G62" s="158" t="s">
        <v>5</v>
      </c>
      <c r="H62" s="159"/>
      <c r="I62" s="158"/>
      <c r="J62" s="159"/>
      <c r="K62" s="158" t="s">
        <v>5</v>
      </c>
      <c r="L62" s="160"/>
    </row>
    <row r="63" spans="4:12" ht="16.5" customHeight="1" x14ac:dyDescent="0.2">
      <c r="D63" s="6" t="s">
        <v>22</v>
      </c>
      <c r="E63" s="144"/>
      <c r="F63" s="145"/>
      <c r="G63" s="144" t="s">
        <v>22</v>
      </c>
      <c r="H63" s="145"/>
      <c r="I63" s="144"/>
      <c r="J63" s="145"/>
      <c r="K63" s="151" t="s">
        <v>22</v>
      </c>
      <c r="L63" s="152"/>
    </row>
    <row r="64" spans="4:12" ht="16.5" customHeight="1" x14ac:dyDescent="0.2">
      <c r="D64" s="8"/>
      <c r="E64" s="147"/>
      <c r="F64" s="148"/>
      <c r="G64" s="147"/>
      <c r="H64" s="148"/>
      <c r="I64" s="147"/>
      <c r="J64" s="148"/>
      <c r="K64" s="147"/>
      <c r="L64" s="153"/>
    </row>
    <row r="65" spans="4:12" ht="16.5" customHeight="1" x14ac:dyDescent="0.2">
      <c r="D65" s="6"/>
      <c r="E65" s="144"/>
      <c r="F65" s="145"/>
      <c r="G65" s="144"/>
      <c r="H65" s="145"/>
      <c r="I65" s="144"/>
      <c r="J65" s="145"/>
      <c r="K65" s="156"/>
      <c r="L65" s="157"/>
    </row>
    <row r="66" spans="4:12" ht="16.5" customHeight="1" x14ac:dyDescent="0.2">
      <c r="D66" s="8"/>
      <c r="E66" s="147"/>
      <c r="F66" s="148"/>
      <c r="G66" s="147"/>
      <c r="H66" s="148"/>
      <c r="I66" s="147"/>
      <c r="J66" s="148"/>
      <c r="K66" s="147"/>
      <c r="L66" s="153"/>
    </row>
    <row r="67" spans="4:12" ht="16.5" customHeight="1" x14ac:dyDescent="0.2">
      <c r="D67" s="6"/>
      <c r="E67" s="144"/>
      <c r="F67" s="145"/>
      <c r="G67" s="144"/>
      <c r="H67" s="145"/>
      <c r="I67" s="144"/>
      <c r="J67" s="145"/>
      <c r="K67" s="151"/>
      <c r="L67" s="152"/>
    </row>
    <row r="68" spans="4:12" ht="16.5" customHeight="1" x14ac:dyDescent="0.2">
      <c r="D68" s="8"/>
      <c r="E68" s="147"/>
      <c r="F68" s="148"/>
      <c r="G68" s="147"/>
      <c r="H68" s="148"/>
      <c r="I68" s="147"/>
      <c r="J68" s="148"/>
      <c r="K68" s="147"/>
      <c r="L68" s="153"/>
    </row>
    <row r="69" spans="4:12" ht="16.5" customHeight="1" x14ac:dyDescent="0.2">
      <c r="D69" s="6"/>
      <c r="E69" s="144"/>
      <c r="F69" s="145"/>
      <c r="G69" s="144"/>
      <c r="H69" s="145"/>
      <c r="I69" s="144"/>
      <c r="J69" s="145"/>
      <c r="K69" s="151"/>
      <c r="L69" s="152"/>
    </row>
    <row r="70" spans="4:12" ht="16.5" customHeight="1" x14ac:dyDescent="0.2">
      <c r="D70" s="8" t="s">
        <v>4</v>
      </c>
      <c r="E70" s="147"/>
      <c r="F70" s="148"/>
      <c r="G70" s="147" t="s">
        <v>4</v>
      </c>
      <c r="H70" s="148"/>
      <c r="I70" s="147"/>
      <c r="J70" s="148"/>
      <c r="K70" s="147" t="s">
        <v>4</v>
      </c>
      <c r="L70" s="153"/>
    </row>
    <row r="71" spans="4:12" ht="16.5" customHeight="1" x14ac:dyDescent="0.2">
      <c r="D71" s="6" t="s">
        <v>23</v>
      </c>
      <c r="E71" s="144"/>
      <c r="F71" s="145"/>
      <c r="G71" s="144" t="s">
        <v>23</v>
      </c>
      <c r="H71" s="145"/>
      <c r="I71" s="144"/>
      <c r="J71" s="145"/>
      <c r="K71" s="151" t="s">
        <v>23</v>
      </c>
      <c r="L71" s="152"/>
    </row>
    <row r="72" spans="4:12" ht="16.5" customHeight="1" x14ac:dyDescent="0.2">
      <c r="D72" s="8"/>
      <c r="E72" s="147"/>
      <c r="F72" s="148"/>
      <c r="G72" s="147"/>
      <c r="H72" s="148"/>
      <c r="I72" s="147"/>
      <c r="J72" s="148"/>
      <c r="K72" s="147"/>
      <c r="L72" s="153"/>
    </row>
    <row r="73" spans="4:12" ht="16.5" customHeight="1" x14ac:dyDescent="0.2">
      <c r="D73" s="6"/>
      <c r="E73" s="144"/>
      <c r="F73" s="145"/>
      <c r="G73" s="144"/>
      <c r="H73" s="145"/>
      <c r="I73" s="144"/>
      <c r="J73" s="145"/>
      <c r="K73" s="144"/>
      <c r="L73" s="146"/>
    </row>
    <row r="74" spans="4:12" ht="16.5" customHeight="1" x14ac:dyDescent="0.2">
      <c r="D74" s="8"/>
      <c r="E74" s="147" t="s">
        <v>6</v>
      </c>
      <c r="F74" s="148"/>
      <c r="G74" s="147"/>
      <c r="H74" s="148"/>
      <c r="I74" s="147" t="s">
        <v>6</v>
      </c>
      <c r="J74" s="148"/>
      <c r="K74" s="154"/>
      <c r="L74" s="155"/>
    </row>
    <row r="75" spans="4:12" ht="16.5" customHeight="1" x14ac:dyDescent="0.2">
      <c r="D75" s="6"/>
      <c r="E75" s="144" t="s">
        <v>24</v>
      </c>
      <c r="F75" s="145"/>
      <c r="G75" s="144"/>
      <c r="H75" s="145"/>
      <c r="I75" s="144" t="s">
        <v>24</v>
      </c>
      <c r="J75" s="145"/>
      <c r="K75" s="144"/>
      <c r="L75" s="146"/>
    </row>
    <row r="76" spans="4:12" ht="16.5" customHeight="1" x14ac:dyDescent="0.2">
      <c r="D76" s="8"/>
      <c r="E76" s="147"/>
      <c r="F76" s="148"/>
      <c r="G76" s="147"/>
      <c r="H76" s="148"/>
      <c r="I76" s="147"/>
      <c r="J76" s="148"/>
      <c r="K76" s="149"/>
      <c r="L76" s="150"/>
    </row>
    <row r="77" spans="4:12" ht="16.5" customHeight="1" x14ac:dyDescent="0.2">
      <c r="D77" s="7"/>
      <c r="E77" s="140"/>
      <c r="F77" s="141"/>
      <c r="G77" s="140"/>
      <c r="H77" s="141"/>
      <c r="I77" s="140"/>
      <c r="J77" s="141"/>
      <c r="K77" s="142"/>
      <c r="L77" s="143"/>
    </row>
  </sheetData>
  <mergeCells count="91">
    <mergeCell ref="D5:D13"/>
    <mergeCell ref="N5:P6"/>
    <mergeCell ref="N7:N8"/>
    <mergeCell ref="O7:O8"/>
    <mergeCell ref="P7:P8"/>
    <mergeCell ref="D55:L56"/>
    <mergeCell ref="E57:F57"/>
    <mergeCell ref="G57:H57"/>
    <mergeCell ref="I57:J57"/>
    <mergeCell ref="K57:L57"/>
    <mergeCell ref="E58:F58"/>
    <mergeCell ref="G58:H58"/>
    <mergeCell ref="I58:J58"/>
    <mergeCell ref="K58:L58"/>
    <mergeCell ref="E59:F59"/>
    <mergeCell ref="G59:H59"/>
    <mergeCell ref="I59:J59"/>
    <mergeCell ref="K59:L59"/>
    <mergeCell ref="E62:F62"/>
    <mergeCell ref="G62:H62"/>
    <mergeCell ref="I62:J62"/>
    <mergeCell ref="K62:L62"/>
    <mergeCell ref="E60:F60"/>
    <mergeCell ref="G60:H60"/>
    <mergeCell ref="I60:J60"/>
    <mergeCell ref="K60:L60"/>
    <mergeCell ref="E61:F61"/>
    <mergeCell ref="G61:H61"/>
    <mergeCell ref="I61:J61"/>
    <mergeCell ref="K61:L61"/>
    <mergeCell ref="E63:F63"/>
    <mergeCell ref="G63:H63"/>
    <mergeCell ref="I63:J63"/>
    <mergeCell ref="K63:L63"/>
    <mergeCell ref="E64:F64"/>
    <mergeCell ref="G64:H64"/>
    <mergeCell ref="I64:J64"/>
    <mergeCell ref="K64:L64"/>
    <mergeCell ref="E65:F65"/>
    <mergeCell ref="G65:H65"/>
    <mergeCell ref="I65:J65"/>
    <mergeCell ref="K65:L65"/>
    <mergeCell ref="E66:F66"/>
    <mergeCell ref="G66:H66"/>
    <mergeCell ref="I66:J66"/>
    <mergeCell ref="K66:L66"/>
    <mergeCell ref="K69:L69"/>
    <mergeCell ref="E70:F70"/>
    <mergeCell ref="G70:H70"/>
    <mergeCell ref="I70:J70"/>
    <mergeCell ref="K70:L70"/>
    <mergeCell ref="K74:L74"/>
    <mergeCell ref="E72:F72"/>
    <mergeCell ref="G72:H72"/>
    <mergeCell ref="I72:J72"/>
    <mergeCell ref="K72:L72"/>
    <mergeCell ref="E73:F73"/>
    <mergeCell ref="G73:H73"/>
    <mergeCell ref="I73:J73"/>
    <mergeCell ref="K73:L73"/>
    <mergeCell ref="E74:F74"/>
    <mergeCell ref="G74:H74"/>
    <mergeCell ref="I74:J74"/>
    <mergeCell ref="E71:F71"/>
    <mergeCell ref="G71:H71"/>
    <mergeCell ref="I71:J71"/>
    <mergeCell ref="K71:L71"/>
    <mergeCell ref="Q7:Q8"/>
    <mergeCell ref="E67:F67"/>
    <mergeCell ref="G67:H67"/>
    <mergeCell ref="I67:J67"/>
    <mergeCell ref="K67:L67"/>
    <mergeCell ref="E68:F68"/>
    <mergeCell ref="G68:H68"/>
    <mergeCell ref="I68:J68"/>
    <mergeCell ref="K68:L68"/>
    <mergeCell ref="E69:F69"/>
    <mergeCell ref="G69:H69"/>
    <mergeCell ref="I69:J69"/>
    <mergeCell ref="E77:F77"/>
    <mergeCell ref="G77:H77"/>
    <mergeCell ref="I77:J77"/>
    <mergeCell ref="K77:L77"/>
    <mergeCell ref="E75:F75"/>
    <mergeCell ref="G75:H75"/>
    <mergeCell ref="I75:J75"/>
    <mergeCell ref="K75:L75"/>
    <mergeCell ref="E76:F76"/>
    <mergeCell ref="G76:H76"/>
    <mergeCell ref="I76:J76"/>
    <mergeCell ref="K76:L76"/>
  </mergeCells>
  <conditionalFormatting sqref="E7:J7">
    <cfRule type="expression" dxfId="12" priority="3" stopIfTrue="1">
      <formula>DAY(E7)&gt;8</formula>
    </cfRule>
  </conditionalFormatting>
  <conditionalFormatting sqref="E11:K54">
    <cfRule type="expression" dxfId="11" priority="2" stopIfTrue="1">
      <formula>AND(DAY(E11)&gt;=1,DAY(E11)&lt;=15)</formula>
    </cfRule>
  </conditionalFormatting>
  <conditionalFormatting sqref="E7:K12">
    <cfRule type="expression" dxfId="10" priority="4">
      <formula>VLOOKUP(DAY(E7),DíasDeTareas,1,FALSE)=DAY(E7)</formula>
    </cfRule>
  </conditionalFormatting>
  <conditionalFormatting sqref="D58:L77">
    <cfRule type="expression" dxfId="9" priority="1">
      <formula>D58&lt;&gt;""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Q5"/>
  </dataValidations>
  <printOptions horizontalCentered="1"/>
  <pageMargins left="0.5" right="0.5" top="0.5" bottom="0.5" header="0.3" footer="0.3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User</cp:lastModifiedBy>
  <cp:lastPrinted>2020-02-07T18:07:10Z</cp:lastPrinted>
  <dcterms:created xsi:type="dcterms:W3CDTF">2019-01-28T23:04:21Z</dcterms:created>
  <dcterms:modified xsi:type="dcterms:W3CDTF">2022-02-04T17:23:30Z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